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4316b9d22dddfda/Documents/2019-2020/Board Meetings/"/>
    </mc:Choice>
  </mc:AlternateContent>
  <xr:revisionPtr revIDLastSave="0" documentId="8_{3EECE28F-2157-48EB-99EE-F39A9720AD06}" xr6:coauthVersionLast="44" xr6:coauthVersionMax="44" xr10:uidLastSave="{00000000-0000-0000-0000-000000000000}"/>
  <bookViews>
    <workbookView xWindow="-2400" yWindow="-16320" windowWidth="29040" windowHeight="15840" xr2:uid="{B49C612D-5A8B-4CE8-A9CE-1C85D0D7BD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H105" i="1" l="1"/>
  <c r="G105" i="1"/>
  <c r="F105" i="1"/>
  <c r="E105" i="1"/>
  <c r="H100" i="1"/>
  <c r="G100" i="1"/>
  <c r="F100" i="1"/>
  <c r="E100" i="1"/>
  <c r="D100" i="1"/>
  <c r="C100" i="1"/>
  <c r="H79" i="1"/>
  <c r="G79" i="1"/>
  <c r="F79" i="1"/>
  <c r="E79" i="1"/>
  <c r="D79" i="1"/>
  <c r="C79" i="1"/>
  <c r="C63" i="1"/>
  <c r="H61" i="1"/>
  <c r="H63" i="1" s="1"/>
  <c r="G61" i="1"/>
  <c r="G63" i="1" s="1"/>
  <c r="F61" i="1"/>
  <c r="F63" i="1" s="1"/>
  <c r="E61" i="1"/>
  <c r="E63" i="1" s="1"/>
  <c r="D61" i="1"/>
  <c r="D63" i="1" s="1"/>
  <c r="C61" i="1"/>
  <c r="C68" i="1" s="1"/>
  <c r="H55" i="1"/>
  <c r="G55" i="1"/>
  <c r="F55" i="1"/>
  <c r="E55" i="1"/>
  <c r="E66" i="1" s="1"/>
  <c r="D55" i="1"/>
  <c r="C55" i="1"/>
  <c r="C35" i="1"/>
  <c r="C34" i="1"/>
  <c r="C33" i="1"/>
  <c r="C39" i="1" s="1"/>
  <c r="H30" i="1"/>
  <c r="G30" i="1"/>
  <c r="F30" i="1"/>
  <c r="E30" i="1"/>
  <c r="D30" i="1"/>
  <c r="C30" i="1"/>
  <c r="C20" i="1"/>
  <c r="C45" i="1" s="1"/>
  <c r="H10" i="1"/>
  <c r="H34" i="1" s="1"/>
  <c r="G10" i="1"/>
  <c r="F10" i="1"/>
  <c r="F35" i="1" s="1"/>
  <c r="E10" i="1"/>
  <c r="D10" i="1"/>
  <c r="D43" i="1" s="1"/>
  <c r="D44" i="1" s="1"/>
  <c r="C10" i="1"/>
  <c r="E33" i="1" l="1"/>
  <c r="E43" i="1"/>
  <c r="E44" i="1" s="1"/>
  <c r="E68" i="1"/>
  <c r="E67" i="1"/>
  <c r="H66" i="1"/>
  <c r="H67" i="1"/>
  <c r="H68" i="1"/>
  <c r="G68" i="1"/>
  <c r="G67" i="1"/>
  <c r="F66" i="1"/>
  <c r="F68" i="1"/>
  <c r="F67" i="1"/>
  <c r="G64" i="1"/>
  <c r="F64" i="1"/>
  <c r="H20" i="1"/>
  <c r="H33" i="1"/>
  <c r="H43" i="1"/>
  <c r="H44" i="1" s="1"/>
  <c r="G34" i="1"/>
  <c r="G33" i="1"/>
  <c r="G43" i="1"/>
  <c r="G44" i="1" s="1"/>
  <c r="F20" i="1"/>
  <c r="F43" i="1"/>
  <c r="F44" i="1" s="1"/>
  <c r="F33" i="1"/>
  <c r="E64" i="1"/>
  <c r="D35" i="1"/>
  <c r="D33" i="1"/>
  <c r="D20" i="1"/>
  <c r="D34" i="1"/>
  <c r="G35" i="1"/>
  <c r="G20" i="1"/>
  <c r="E35" i="1"/>
  <c r="E104" i="1" s="1"/>
  <c r="H64" i="1"/>
  <c r="C104" i="1"/>
  <c r="C109" i="1" s="1"/>
  <c r="E34" i="1"/>
  <c r="E39" i="1" s="1"/>
  <c r="D66" i="1"/>
  <c r="E20" i="1"/>
  <c r="F34" i="1"/>
  <c r="H35" i="1"/>
  <c r="C64" i="1"/>
  <c r="G66" i="1"/>
  <c r="C66" i="1"/>
  <c r="D64" i="1"/>
  <c r="F70" i="1" l="1"/>
  <c r="F71" i="1" s="1"/>
  <c r="F39" i="1"/>
  <c r="F45" i="1" s="1"/>
  <c r="E70" i="1"/>
  <c r="E71" i="1" s="1"/>
  <c r="H104" i="1"/>
  <c r="H109" i="1" s="1"/>
  <c r="H39" i="1"/>
  <c r="H45" i="1" s="1"/>
  <c r="G104" i="1"/>
  <c r="G109" i="1" s="1"/>
  <c r="G39" i="1"/>
  <c r="G45" i="1" s="1"/>
  <c r="H70" i="1"/>
  <c r="H71" i="1" s="1"/>
  <c r="F104" i="1"/>
  <c r="F109" i="1" s="1"/>
  <c r="G70" i="1"/>
  <c r="G71" i="1" s="1"/>
  <c r="D70" i="1"/>
  <c r="D71" i="1" s="1"/>
  <c r="D104" i="1"/>
  <c r="D109" i="1" s="1"/>
  <c r="D39" i="1"/>
  <c r="D45" i="1" s="1"/>
  <c r="C70" i="1"/>
  <c r="C71" i="1" s="1"/>
  <c r="C110" i="1" s="1"/>
  <c r="C117" i="1" s="1"/>
  <c r="C121" i="1" s="1"/>
  <c r="E45" i="1"/>
  <c r="E109" i="1"/>
  <c r="F110" i="1" l="1"/>
  <c r="F117" i="1" s="1"/>
  <c r="F121" i="1" s="1"/>
  <c r="D110" i="1"/>
  <c r="D117" i="1" s="1"/>
  <c r="D121" i="1" s="1"/>
  <c r="E110" i="1"/>
  <c r="E117" i="1" s="1"/>
  <c r="E121" i="1" s="1"/>
  <c r="H110" i="1"/>
  <c r="H117" i="1" s="1"/>
  <c r="H121" i="1" s="1"/>
  <c r="G110" i="1"/>
  <c r="G117" i="1" s="1"/>
  <c r="G121" i="1" s="1"/>
  <c r="C111" i="1"/>
  <c r="C114" i="1" s="1"/>
  <c r="C115" i="1"/>
  <c r="F111" i="1" l="1"/>
  <c r="F114" i="1" s="1"/>
  <c r="D111" i="1"/>
  <c r="D114" i="1" s="1"/>
  <c r="E111" i="1"/>
  <c r="E114" i="1" s="1"/>
  <c r="H111" i="1"/>
  <c r="H114" i="1" s="1"/>
  <c r="G111" i="1"/>
  <c r="G114" i="1" s="1"/>
  <c r="D113" i="1"/>
  <c r="C122" i="1"/>
  <c r="D115" i="1" l="1"/>
  <c r="E113" i="1" s="1"/>
  <c r="E115" i="1" s="1"/>
  <c r="D122" i="1" l="1"/>
  <c r="F113" i="1"/>
  <c r="F115" i="1" s="1"/>
  <c r="E122" i="1"/>
  <c r="F122" i="1" l="1"/>
  <c r="G113" i="1"/>
  <c r="G115" i="1" s="1"/>
  <c r="G122" i="1" l="1"/>
  <c r="H113" i="1"/>
  <c r="H115" i="1" s="1"/>
  <c r="H122" i="1" s="1"/>
</calcChain>
</file>

<file path=xl/sharedStrings.xml><?xml version="1.0" encoding="utf-8"?>
<sst xmlns="http://schemas.openxmlformats.org/spreadsheetml/2006/main" count="143" uniqueCount="137">
  <si>
    <t>2017-2018      Actual</t>
  </si>
  <si>
    <t>(1.75 FTE)</t>
  </si>
  <si>
    <t>Charter Name:  USA</t>
  </si>
  <si>
    <t>Charter Number: 859</t>
  </si>
  <si>
    <t>Multi Year Analysis: 2017-2023</t>
  </si>
  <si>
    <t>Preliminary 2019-2020 Budget</t>
  </si>
  <si>
    <t>Actual and Projected Budgets</t>
  </si>
  <si>
    <t>Object</t>
  </si>
  <si>
    <t>ASSUMPTIONS</t>
  </si>
  <si>
    <t>Enrollment</t>
  </si>
  <si>
    <t>Average Daily Attendance (ADA)</t>
  </si>
  <si>
    <t>General Purpose Funding Grant (LCFF)</t>
  </si>
  <si>
    <t>Mandate Block Grant</t>
  </si>
  <si>
    <t>Lottery and other state funding</t>
  </si>
  <si>
    <t>EPA apportionment</t>
  </si>
  <si>
    <t>REVENUES</t>
  </si>
  <si>
    <t>Revenue Limit Sources</t>
  </si>
  <si>
    <t>General Apportionment (LCFF)</t>
  </si>
  <si>
    <t>Adjustments</t>
  </si>
  <si>
    <t>Federal Revenues</t>
  </si>
  <si>
    <t>Title I</t>
  </si>
  <si>
    <t>Rural Education Achievement</t>
  </si>
  <si>
    <t>Low Performing Student Block Grant</t>
  </si>
  <si>
    <t>Vento Funding - Homeless</t>
  </si>
  <si>
    <t>Indian Education Grant</t>
  </si>
  <si>
    <t>Erate &amp; California Teleconnect Grants</t>
  </si>
  <si>
    <t>Subtotal Federal Revenues</t>
  </si>
  <si>
    <t>State Revenues</t>
  </si>
  <si>
    <t>other state revenues</t>
  </si>
  <si>
    <t>Lottery</t>
  </si>
  <si>
    <t>EIA/EPA (Education Protection Act)</t>
  </si>
  <si>
    <t>Common Core Implementation Funding</t>
  </si>
  <si>
    <t>Other State Grants- Professional Develop</t>
  </si>
  <si>
    <t>Other St. Grants- Energy</t>
  </si>
  <si>
    <t>Subtotal State Revenues</t>
  </si>
  <si>
    <t>Local Revenues</t>
  </si>
  <si>
    <t>Interest</t>
  </si>
  <si>
    <t>Donations/fundraising</t>
  </si>
  <si>
    <t>Subtotal Local Revenues</t>
  </si>
  <si>
    <t>Total Revenues</t>
  </si>
  <si>
    <t>EXPENDITURES</t>
  </si>
  <si>
    <t>Salaries &amp; Benefits</t>
  </si>
  <si>
    <t xml:space="preserve">ADMINISTRATIVE </t>
  </si>
  <si>
    <t>Administrative Staff Salaries</t>
  </si>
  <si>
    <t>CERTIFICATED</t>
  </si>
  <si>
    <t>Substitute / Attendance Bonus /Stipends</t>
  </si>
  <si>
    <t>Total Certificated</t>
  </si>
  <si>
    <t>CLASSIFIED</t>
  </si>
  <si>
    <t>Instructional Assistants</t>
  </si>
  <si>
    <t>Total Classified</t>
  </si>
  <si>
    <t>BENEFITS</t>
  </si>
  <si>
    <t>Social Security (6.2%)</t>
  </si>
  <si>
    <t>Medicare (1.45%)</t>
  </si>
  <si>
    <t xml:space="preserve">STRS </t>
  </si>
  <si>
    <t xml:space="preserve">Unemployment Insurance </t>
  </si>
  <si>
    <t>Noncredentialed retirement</t>
  </si>
  <si>
    <t>Total Benefits</t>
  </si>
  <si>
    <t>Subtotal Salaries &amp; Benefits</t>
  </si>
  <si>
    <t>Textbooks&amp; Other Books</t>
  </si>
  <si>
    <t>Instructional Materials</t>
  </si>
  <si>
    <t>Office Supplies  &amp; Equipment</t>
  </si>
  <si>
    <t>Misc. Supplies &amp; Custodial</t>
  </si>
  <si>
    <t>Subtotal Supplies</t>
  </si>
  <si>
    <t>Travel/Conference &amp; Training</t>
  </si>
  <si>
    <t>Dues and Memberships</t>
  </si>
  <si>
    <t>Professional Publications</t>
  </si>
  <si>
    <t>Insurance (liability)</t>
  </si>
  <si>
    <t>Public Relations/Recruitment</t>
  </si>
  <si>
    <t>Operations:  land acquisition</t>
  </si>
  <si>
    <t>Operations: Energy Grant</t>
  </si>
  <si>
    <t>Operations: one-time expenses</t>
  </si>
  <si>
    <t xml:space="preserve">Lease for 330 E Street </t>
  </si>
  <si>
    <t>Lease, mortgage for 1492 Northcrest</t>
  </si>
  <si>
    <t>Prof Serv:  Accounting &amp; Auditing</t>
  </si>
  <si>
    <t>Professional Services:  Legal</t>
  </si>
  <si>
    <t>Professional Services:  Copy Contract</t>
  </si>
  <si>
    <t>Professional Services:  Tech Contract</t>
  </si>
  <si>
    <t>Professional Services: Groundskeeping</t>
  </si>
  <si>
    <t>Communications: telephone, online</t>
  </si>
  <si>
    <t>Subtotal</t>
  </si>
  <si>
    <t>Capital Outlay</t>
  </si>
  <si>
    <t>Other Outgo</t>
  </si>
  <si>
    <t xml:space="preserve">DNCOE Oversight  </t>
  </si>
  <si>
    <t>DNUSD Service Fees - CalPADS</t>
  </si>
  <si>
    <t>Total Expenditures</t>
  </si>
  <si>
    <t xml:space="preserve">Net Revenues Over/(Under) Expenditures </t>
  </si>
  <si>
    <t>Fund Balance</t>
  </si>
  <si>
    <t>Net Revenues for the year</t>
  </si>
  <si>
    <t>Ending Fund Balance</t>
  </si>
  <si>
    <t>5% minimum emergency reserve</t>
  </si>
  <si>
    <t>unspent restricted funds</t>
  </si>
  <si>
    <t xml:space="preserve">     Total Reserve Fund Balance</t>
  </si>
  <si>
    <t>Total Unreserved Ending Fund Balance for Cash Flow &amp; Expenses</t>
  </si>
  <si>
    <t>Percent students who attend each day</t>
  </si>
  <si>
    <t>Teacher Salaries</t>
  </si>
  <si>
    <t>Office Staff</t>
  </si>
  <si>
    <t>Custodial Staff</t>
  </si>
  <si>
    <t>Classified Coach Stipends</t>
  </si>
  <si>
    <t>Workers Comp  ($1.85/$100 payroll)</t>
  </si>
  <si>
    <t xml:space="preserve">Educational Materials </t>
  </si>
  <si>
    <t>Food Services</t>
  </si>
  <si>
    <t>Educational Services, Operating Expenses</t>
  </si>
  <si>
    <t>2019-2020 Current Enrollment</t>
  </si>
  <si>
    <t>Local tax payment</t>
  </si>
  <si>
    <t>Local Tax Revenue</t>
  </si>
  <si>
    <t xml:space="preserve">Students who qualify for free/reduced </t>
  </si>
  <si>
    <t>2021-2022     Stable   Enrollment</t>
  </si>
  <si>
    <t>Prof Services:  Outside Contractors</t>
  </si>
  <si>
    <t>Taxes for undeveloped land</t>
  </si>
  <si>
    <t>2020-2021   increased enrollment</t>
  </si>
  <si>
    <t>Health Insurance ($10,700XFTE)</t>
  </si>
  <si>
    <t>Non-Capitalized Furniture, Computers, etc</t>
  </si>
  <si>
    <t>Additional for Cashflow</t>
  </si>
  <si>
    <t xml:space="preserve">10 FTE </t>
  </si>
  <si>
    <t>13.5 FTE</t>
  </si>
  <si>
    <t>save for future salary increases</t>
  </si>
  <si>
    <t>Operations: Utilities (power, water, grbg)</t>
  </si>
  <si>
    <t>DNUSD SPED Fees per MOU</t>
  </si>
  <si>
    <t>2018-2019        P-2</t>
  </si>
  <si>
    <t>Purchase Bldg</t>
  </si>
  <si>
    <t>Planning and Preparing</t>
  </si>
  <si>
    <t>construction</t>
  </si>
  <si>
    <t>New Campus 4.5 million loan 4.5% interest</t>
  </si>
  <si>
    <t>1.5 FTE</t>
  </si>
  <si>
    <t>12 FTE</t>
  </si>
  <si>
    <t>2.0 FTE</t>
  </si>
  <si>
    <t>13 FTE</t>
  </si>
  <si>
    <t>Other Grants</t>
  </si>
  <si>
    <t>1.0 FTE</t>
  </si>
  <si>
    <t>2022-2023    Sustainable   Staffing</t>
  </si>
  <si>
    <t>New Campus</t>
  </si>
  <si>
    <t>Phase 1</t>
  </si>
  <si>
    <t>Phase 2</t>
  </si>
  <si>
    <t>Phase 3</t>
  </si>
  <si>
    <t>Revised as of June 22, 2019</t>
  </si>
  <si>
    <t>Beginning Cash Balance</t>
  </si>
  <si>
    <t>Interest paid out for cash advances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</si>
</sst>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1802BE"/>
      <name val="Arial"/>
      <family val="2"/>
    </font>
    <font>
      <b/>
      <sz val="11"/>
      <color rgb="FF1802BE"/>
      <name val="Calibri"/>
      <family val="2"/>
      <scheme val="minor"/>
    </font>
    <font>
      <b/>
      <sz val="12"/>
      <color rgb="FF1802BE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4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/>
    <xf numFmtId="164" fontId="3" fillId="2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vertical="center"/>
    </xf>
    <xf numFmtId="43" fontId="0" fillId="4" borderId="0" xfId="1" applyFont="1" applyFill="1"/>
    <xf numFmtId="0" fontId="0" fillId="4" borderId="1" xfId="0" applyFill="1" applyBorder="1"/>
    <xf numFmtId="164" fontId="4" fillId="2" borderId="1" xfId="1" applyNumberFormat="1" applyFont="1" applyFill="1" applyBorder="1" applyAlignment="1">
      <alignment vertical="center"/>
    </xf>
    <xf numFmtId="164" fontId="4" fillId="3" borderId="1" xfId="1" applyNumberFormat="1" applyFont="1" applyFill="1" applyBorder="1" applyAlignment="1">
      <alignment vertical="center"/>
    </xf>
    <xf numFmtId="10" fontId="4" fillId="2" borderId="1" xfId="1" applyNumberFormat="1" applyFont="1" applyFill="1" applyBorder="1" applyAlignment="1">
      <alignment vertical="center"/>
    </xf>
    <xf numFmtId="10" fontId="4" fillId="3" borderId="1" xfId="1" applyNumberFormat="1" applyFont="1" applyFill="1" applyBorder="1" applyAlignment="1">
      <alignment vertical="center"/>
    </xf>
    <xf numFmtId="164" fontId="0" fillId="4" borderId="2" xfId="1" applyNumberFormat="1" applyFont="1" applyFill="1" applyBorder="1"/>
    <xf numFmtId="164" fontId="4" fillId="0" borderId="1" xfId="1" applyNumberFormat="1" applyFont="1" applyBorder="1" applyAlignment="1">
      <alignment vertical="center"/>
    </xf>
    <xf numFmtId="164" fontId="0" fillId="0" borderId="2" xfId="1" applyNumberFormat="1" applyFont="1" applyBorder="1"/>
    <xf numFmtId="164" fontId="4" fillId="5" borderId="1" xfId="1" applyNumberFormat="1" applyFont="1" applyFill="1" applyBorder="1" applyAlignment="1">
      <alignment vertical="center"/>
    </xf>
    <xf numFmtId="164" fontId="0" fillId="6" borderId="2" xfId="1" applyNumberFormat="1" applyFont="1" applyFill="1" applyBorder="1"/>
    <xf numFmtId="41" fontId="0" fillId="6" borderId="1" xfId="2" applyNumberFormat="1" applyFont="1" applyFill="1" applyBorder="1"/>
    <xf numFmtId="0" fontId="0" fillId="3" borderId="0" xfId="0" applyFill="1"/>
    <xf numFmtId="164" fontId="5" fillId="2" borderId="1" xfId="1" applyNumberFormat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vertical="center"/>
    </xf>
    <xf numFmtId="164" fontId="7" fillId="2" borderId="1" xfId="1" applyNumberFormat="1" applyFont="1" applyFill="1" applyBorder="1" applyAlignment="1">
      <alignment vertical="center"/>
    </xf>
    <xf numFmtId="164" fontId="7" fillId="3" borderId="1" xfId="1" applyNumberFormat="1" applyFont="1" applyFill="1" applyBorder="1" applyAlignment="1">
      <alignment vertical="center"/>
    </xf>
    <xf numFmtId="41" fontId="0" fillId="4" borderId="1" xfId="2" applyNumberFormat="1" applyFont="1" applyFill="1" applyBorder="1"/>
    <xf numFmtId="164" fontId="3" fillId="2" borderId="1" xfId="1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164" fontId="8" fillId="2" borderId="1" xfId="1" applyNumberFormat="1" applyFont="1" applyFill="1" applyBorder="1" applyAlignment="1">
      <alignment vertical="center"/>
    </xf>
    <xf numFmtId="164" fontId="9" fillId="3" borderId="1" xfId="1" applyNumberFormat="1" applyFont="1" applyFill="1" applyBorder="1" applyAlignment="1">
      <alignment vertical="center"/>
    </xf>
    <xf numFmtId="164" fontId="9" fillId="2" borderId="1" xfId="1" applyNumberFormat="1" applyFont="1" applyFill="1" applyBorder="1" applyAlignment="1">
      <alignment vertical="center"/>
    </xf>
    <xf numFmtId="164" fontId="8" fillId="3" borderId="1" xfId="1" applyNumberFormat="1" applyFont="1" applyFill="1" applyBorder="1" applyAlignment="1">
      <alignment vertical="center"/>
    </xf>
    <xf numFmtId="41" fontId="0" fillId="0" borderId="1" xfId="2" applyNumberFormat="1" applyFont="1" applyBorder="1"/>
    <xf numFmtId="164" fontId="6" fillId="3" borderId="2" xfId="1" applyNumberFormat="1" applyFont="1" applyFill="1" applyBorder="1" applyAlignment="1">
      <alignment horizontal="center" vertical="center"/>
    </xf>
    <xf numFmtId="41" fontId="6" fillId="3" borderId="1" xfId="2" applyNumberFormat="1" applyFont="1" applyFill="1" applyBorder="1" applyAlignment="1">
      <alignment horizontal="center" vertical="center"/>
    </xf>
    <xf numFmtId="164" fontId="5" fillId="7" borderId="1" xfId="1" applyNumberFormat="1" applyFont="1" applyFill="1" applyBorder="1" applyAlignment="1">
      <alignment vertical="center"/>
    </xf>
    <xf numFmtId="164" fontId="6" fillId="7" borderId="2" xfId="1" applyNumberFormat="1" applyFont="1" applyFill="1" applyBorder="1"/>
    <xf numFmtId="41" fontId="6" fillId="7" borderId="1" xfId="2" applyNumberFormat="1" applyFont="1" applyFill="1" applyBorder="1"/>
    <xf numFmtId="41" fontId="6" fillId="3" borderId="1" xfId="2" applyNumberFormat="1" applyFont="1" applyFill="1" applyBorder="1"/>
    <xf numFmtId="164" fontId="5" fillId="8" borderId="1" xfId="1" applyNumberFormat="1" applyFont="1" applyFill="1" applyBorder="1" applyAlignment="1">
      <alignment vertical="center"/>
    </xf>
    <xf numFmtId="164" fontId="12" fillId="3" borderId="1" xfId="1" applyNumberFormat="1" applyFont="1" applyFill="1" applyBorder="1" applyAlignment="1">
      <alignment vertical="center"/>
    </xf>
    <xf numFmtId="164" fontId="2" fillId="3" borderId="2" xfId="1" applyNumberFormat="1" applyFont="1" applyFill="1" applyBorder="1" applyAlignment="1">
      <alignment horizontal="center" vertical="center"/>
    </xf>
    <xf numFmtId="41" fontId="2" fillId="3" borderId="1" xfId="2" applyNumberFormat="1" applyFont="1" applyFill="1" applyBorder="1" applyAlignment="1">
      <alignment horizontal="left" vertical="center"/>
    </xf>
    <xf numFmtId="164" fontId="4" fillId="0" borderId="0" xfId="1" applyNumberFormat="1" applyFont="1" applyAlignment="1">
      <alignment vertical="center"/>
    </xf>
    <xf numFmtId="0" fontId="13" fillId="0" borderId="0" xfId="0" applyFont="1"/>
    <xf numFmtId="0" fontId="13" fillId="0" borderId="3" xfId="0" applyFont="1" applyBorder="1" applyProtection="1">
      <protection locked="0"/>
    </xf>
    <xf numFmtId="0" fontId="13" fillId="0" borderId="4" xfId="0" applyFont="1" applyBorder="1" applyProtection="1">
      <protection locked="0"/>
    </xf>
    <xf numFmtId="0" fontId="13" fillId="0" borderId="0" xfId="0" applyFont="1" applyProtection="1">
      <protection locked="0"/>
    </xf>
    <xf numFmtId="2" fontId="14" fillId="0" borderId="0" xfId="0" applyNumberFormat="1" applyFont="1"/>
    <xf numFmtId="2" fontId="14" fillId="9" borderId="0" xfId="0" applyNumberFormat="1" applyFont="1" applyFill="1" applyProtection="1">
      <protection locked="0"/>
    </xf>
    <xf numFmtId="0" fontId="14" fillId="0" borderId="0" xfId="0" applyFont="1" applyProtection="1">
      <protection locked="0"/>
    </xf>
    <xf numFmtId="2" fontId="15" fillId="0" borderId="5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2" fontId="15" fillId="10" borderId="7" xfId="0" applyNumberFormat="1" applyFont="1" applyFill="1" applyBorder="1" applyAlignment="1">
      <alignment horizontal="center" vertical="top" wrapText="1"/>
    </xf>
    <xf numFmtId="0" fontId="15" fillId="10" borderId="8" xfId="0" applyFont="1" applyFill="1" applyBorder="1" applyAlignment="1">
      <alignment horizontal="center" vertical="top" wrapText="1"/>
    </xf>
    <xf numFmtId="2" fontId="14" fillId="0" borderId="9" xfId="0" applyNumberFormat="1" applyFont="1" applyBorder="1" applyAlignment="1" applyProtection="1">
      <alignment vertical="top" wrapText="1"/>
      <protection locked="0"/>
    </xf>
    <xf numFmtId="0" fontId="14" fillId="10" borderId="10" xfId="0" applyFont="1" applyFill="1" applyBorder="1" applyAlignment="1">
      <alignment horizontal="right" vertical="top" wrapText="1"/>
    </xf>
    <xf numFmtId="9" fontId="14" fillId="0" borderId="9" xfId="2" applyFont="1" applyBorder="1" applyAlignment="1" applyProtection="1">
      <alignment vertical="top" wrapText="1"/>
      <protection locked="0"/>
    </xf>
    <xf numFmtId="0" fontId="14" fillId="10" borderId="10" xfId="2" applyNumberFormat="1" applyFont="1" applyFill="1" applyBorder="1" applyAlignment="1">
      <alignment horizontal="right" vertical="top" wrapText="1"/>
    </xf>
    <xf numFmtId="2" fontId="14" fillId="0" borderId="9" xfId="0" applyNumberFormat="1" applyFont="1" applyBorder="1" applyAlignment="1">
      <alignment vertical="top" wrapText="1"/>
    </xf>
    <xf numFmtId="2" fontId="14" fillId="0" borderId="11" xfId="0" applyNumberFormat="1" applyFont="1" applyBorder="1" applyAlignment="1" applyProtection="1">
      <alignment vertical="top" wrapText="1"/>
      <protection locked="0"/>
    </xf>
    <xf numFmtId="0" fontId="14" fillId="10" borderId="12" xfId="0" applyFont="1" applyFill="1" applyBorder="1" applyAlignment="1">
      <alignment horizontal="right" vertical="top" wrapText="1"/>
    </xf>
    <xf numFmtId="0" fontId="15" fillId="10" borderId="8" xfId="0" applyFont="1" applyFill="1" applyBorder="1" applyAlignment="1">
      <alignment horizontal="right" vertical="top" wrapText="1"/>
    </xf>
    <xf numFmtId="0" fontId="15" fillId="0" borderId="10" xfId="0" applyFont="1" applyBorder="1" applyAlignment="1">
      <alignment horizontal="right" vertical="top" wrapText="1"/>
    </xf>
    <xf numFmtId="2" fontId="14" fillId="0" borderId="9" xfId="0" applyNumberFormat="1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right" vertical="top" wrapText="1"/>
      <protection locked="0"/>
    </xf>
    <xf numFmtId="0" fontId="15" fillId="6" borderId="10" xfId="0" applyFont="1" applyFill="1" applyBorder="1" applyAlignment="1">
      <alignment horizontal="right" vertical="top" wrapText="1"/>
    </xf>
    <xf numFmtId="2" fontId="16" fillId="0" borderId="9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right" vertical="top" wrapText="1"/>
    </xf>
    <xf numFmtId="2" fontId="15" fillId="6" borderId="9" xfId="0" applyNumberFormat="1" applyFont="1" applyFill="1" applyBorder="1" applyAlignment="1">
      <alignment vertical="top" wrapText="1"/>
    </xf>
    <xf numFmtId="2" fontId="16" fillId="0" borderId="9" xfId="0" applyNumberFormat="1" applyFont="1" applyBorder="1" applyAlignment="1">
      <alignment vertical="top" wrapText="1"/>
    </xf>
    <xf numFmtId="2" fontId="17" fillId="0" borderId="9" xfId="0" applyNumberFormat="1" applyFont="1" applyBorder="1" applyAlignment="1">
      <alignment vertical="top" wrapText="1"/>
    </xf>
    <xf numFmtId="0" fontId="17" fillId="0" borderId="10" xfId="0" applyFont="1" applyBorder="1" applyAlignment="1">
      <alignment horizontal="right" vertical="top" wrapText="1"/>
    </xf>
    <xf numFmtId="0" fontId="15" fillId="10" borderId="8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 applyAlignment="1">
      <alignment horizontal="center"/>
    </xf>
    <xf numFmtId="2" fontId="15" fillId="0" borderId="9" xfId="0" applyNumberFormat="1" applyFont="1" applyBorder="1" applyAlignment="1">
      <alignment horizontal="center" vertical="top" wrapText="1"/>
    </xf>
    <xf numFmtId="2" fontId="15" fillId="0" borderId="9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right" vertical="top" wrapText="1"/>
    </xf>
    <xf numFmtId="2" fontId="14" fillId="2" borderId="9" xfId="0" applyNumberFormat="1" applyFont="1" applyFill="1" applyBorder="1" applyAlignment="1" applyProtection="1">
      <alignment vertical="top" wrapText="1"/>
      <protection locked="0"/>
    </xf>
    <xf numFmtId="0" fontId="15" fillId="0" borderId="10" xfId="0" applyFont="1" applyBorder="1" applyAlignment="1" applyProtection="1">
      <alignment horizontal="right" vertical="top" wrapText="1"/>
      <protection locked="0"/>
    </xf>
    <xf numFmtId="0" fontId="16" fillId="0" borderId="10" xfId="0" applyFont="1" applyBorder="1" applyAlignment="1" applyProtection="1">
      <alignment horizontal="right" vertical="top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2" fontId="14" fillId="2" borderId="0" xfId="0" applyNumberFormat="1" applyFont="1" applyFill="1" applyAlignment="1" applyProtection="1">
      <alignment vertical="top" wrapText="1"/>
      <protection locked="0"/>
    </xf>
    <xf numFmtId="0" fontId="14" fillId="2" borderId="0" xfId="0" applyFont="1" applyFill="1" applyAlignment="1" applyProtection="1">
      <alignment wrapText="1"/>
      <protection locked="0"/>
    </xf>
    <xf numFmtId="0" fontId="15" fillId="6" borderId="10" xfId="0" applyFont="1" applyFill="1" applyBorder="1" applyAlignment="1" applyProtection="1">
      <alignment horizontal="right" vertical="top" wrapText="1"/>
      <protection locked="0"/>
    </xf>
    <xf numFmtId="2" fontId="15" fillId="0" borderId="9" xfId="0" applyNumberFormat="1" applyFont="1" applyBorder="1" applyAlignment="1" applyProtection="1">
      <alignment vertical="top" wrapText="1"/>
      <protection locked="0"/>
    </xf>
    <xf numFmtId="2" fontId="17" fillId="3" borderId="9" xfId="0" applyNumberFormat="1" applyFont="1" applyFill="1" applyBorder="1" applyAlignment="1">
      <alignment vertical="top" wrapText="1"/>
    </xf>
    <xf numFmtId="0" fontId="17" fillId="3" borderId="10" xfId="0" applyFont="1" applyFill="1" applyBorder="1" applyAlignment="1">
      <alignment horizontal="right" vertical="top" wrapText="1"/>
    </xf>
    <xf numFmtId="2" fontId="17" fillId="7" borderId="9" xfId="0" applyNumberFormat="1" applyFont="1" applyFill="1" applyBorder="1" applyAlignment="1">
      <alignment vertical="top" wrapText="1"/>
    </xf>
    <xf numFmtId="0" fontId="17" fillId="7" borderId="10" xfId="0" applyFont="1" applyFill="1" applyBorder="1" applyAlignment="1">
      <alignment horizontal="right" vertical="top" wrapText="1"/>
    </xf>
    <xf numFmtId="2" fontId="16" fillId="7" borderId="9" xfId="0" applyNumberFormat="1" applyFont="1" applyFill="1" applyBorder="1" applyAlignment="1">
      <alignment vertical="top" wrapText="1"/>
    </xf>
    <xf numFmtId="0" fontId="16" fillId="7" borderId="10" xfId="0" applyFont="1" applyFill="1" applyBorder="1" applyAlignment="1" applyProtection="1">
      <alignment horizontal="right" vertical="top" wrapText="1"/>
      <protection locked="0"/>
    </xf>
    <xf numFmtId="2" fontId="16" fillId="7" borderId="9" xfId="0" applyNumberFormat="1" applyFont="1" applyFill="1" applyBorder="1" applyAlignment="1" applyProtection="1">
      <alignment vertical="top" wrapText="1"/>
      <protection locked="0"/>
    </xf>
    <xf numFmtId="2" fontId="16" fillId="2" borderId="9" xfId="0" applyNumberFormat="1" applyFont="1" applyFill="1" applyBorder="1" applyAlignment="1" applyProtection="1">
      <alignment vertical="top" wrapText="1"/>
      <protection locked="0"/>
    </xf>
    <xf numFmtId="2" fontId="16" fillId="8" borderId="9" xfId="0" applyNumberFormat="1" applyFont="1" applyFill="1" applyBorder="1" applyAlignment="1">
      <alignment vertical="top" wrapText="1"/>
    </xf>
    <xf numFmtId="0" fontId="16" fillId="8" borderId="10" xfId="0" applyFont="1" applyFill="1" applyBorder="1" applyAlignment="1">
      <alignment horizontal="right" vertical="top" wrapText="1"/>
    </xf>
    <xf numFmtId="2" fontId="12" fillId="3" borderId="11" xfId="0" applyNumberFormat="1" applyFont="1" applyFill="1" applyBorder="1" applyAlignment="1">
      <alignment vertical="top" wrapText="1"/>
    </xf>
    <xf numFmtId="0" fontId="12" fillId="3" borderId="12" xfId="0" applyFont="1" applyFill="1" applyBorder="1" applyAlignment="1">
      <alignment horizontal="right" vertical="top" wrapText="1"/>
    </xf>
    <xf numFmtId="164" fontId="3" fillId="11" borderId="1" xfId="1" applyNumberFormat="1" applyFont="1" applyFill="1" applyBorder="1" applyAlignment="1">
      <alignment horizontal="center" vertical="center" wrapText="1"/>
    </xf>
    <xf numFmtId="164" fontId="4" fillId="11" borderId="1" xfId="1" applyNumberFormat="1" applyFont="1" applyFill="1" applyBorder="1" applyAlignment="1">
      <alignment vertical="center"/>
    </xf>
    <xf numFmtId="10" fontId="4" fillId="11" borderId="1" xfId="1" applyNumberFormat="1" applyFont="1" applyFill="1" applyBorder="1" applyAlignment="1">
      <alignment vertical="center"/>
    </xf>
    <xf numFmtId="164" fontId="5" fillId="11" borderId="1" xfId="1" applyNumberFormat="1" applyFont="1" applyFill="1" applyBorder="1" applyAlignment="1">
      <alignment vertical="center"/>
    </xf>
    <xf numFmtId="0" fontId="18" fillId="0" borderId="0" xfId="0" applyFont="1"/>
    <xf numFmtId="164" fontId="7" fillId="11" borderId="1" xfId="1" applyNumberFormat="1" applyFont="1" applyFill="1" applyBorder="1" applyAlignment="1">
      <alignment vertical="center"/>
    </xf>
    <xf numFmtId="164" fontId="3" fillId="11" borderId="1" xfId="1" applyNumberFormat="1" applyFont="1" applyFill="1" applyBorder="1" applyAlignment="1">
      <alignment horizontal="center" vertical="center"/>
    </xf>
    <xf numFmtId="164" fontId="3" fillId="11" borderId="1" xfId="1" applyNumberFormat="1" applyFont="1" applyFill="1" applyBorder="1" applyAlignment="1">
      <alignment vertical="center"/>
    </xf>
    <xf numFmtId="164" fontId="8" fillId="11" borderId="1" xfId="1" applyNumberFormat="1" applyFont="1" applyFill="1" applyBorder="1" applyAlignment="1">
      <alignment vertical="center"/>
    </xf>
    <xf numFmtId="164" fontId="0" fillId="12" borderId="2" xfId="1" applyNumberFormat="1" applyFont="1" applyFill="1" applyBorder="1"/>
    <xf numFmtId="0" fontId="0" fillId="12" borderId="1" xfId="0" applyFill="1" applyBorder="1"/>
    <xf numFmtId="43" fontId="2" fillId="13" borderId="2" xfId="1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top" wrapText="1"/>
    </xf>
    <xf numFmtId="164" fontId="0" fillId="13" borderId="2" xfId="1" applyNumberFormat="1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9" fontId="0" fillId="13" borderId="2" xfId="2" applyFont="1" applyFill="1" applyBorder="1"/>
    <xf numFmtId="9" fontId="0" fillId="13" borderId="1" xfId="2" applyFont="1" applyFill="1" applyBorder="1"/>
    <xf numFmtId="164" fontId="0" fillId="13" borderId="2" xfId="1" applyNumberFormat="1" applyFont="1" applyFill="1" applyBorder="1"/>
    <xf numFmtId="0" fontId="0" fillId="13" borderId="1" xfId="0" applyFill="1" applyBorder="1"/>
    <xf numFmtId="41" fontId="0" fillId="13" borderId="1" xfId="1" applyNumberFormat="1" applyFont="1" applyFill="1" applyBorder="1"/>
    <xf numFmtId="41" fontId="0" fillId="13" borderId="1" xfId="2" applyNumberFormat="1" applyFont="1" applyFill="1" applyBorder="1"/>
    <xf numFmtId="164" fontId="6" fillId="13" borderId="2" xfId="1" applyNumberFormat="1" applyFont="1" applyFill="1" applyBorder="1"/>
    <xf numFmtId="41" fontId="6" fillId="13" borderId="1" xfId="2" applyNumberFormat="1" applyFont="1" applyFill="1" applyBorder="1"/>
    <xf numFmtId="164" fontId="2" fillId="13" borderId="2" xfId="1" applyNumberFormat="1" applyFont="1" applyFill="1" applyBorder="1"/>
    <xf numFmtId="41" fontId="2" fillId="13" borderId="1" xfId="2" applyNumberFormat="1" applyFont="1" applyFill="1" applyBorder="1"/>
    <xf numFmtId="164" fontId="1" fillId="13" borderId="2" xfId="1" applyNumberFormat="1" applyFill="1" applyBorder="1"/>
    <xf numFmtId="41" fontId="1" fillId="13" borderId="1" xfId="2" applyNumberFormat="1" applyFill="1" applyBorder="1"/>
    <xf numFmtId="164" fontId="10" fillId="13" borderId="2" xfId="1" applyNumberFormat="1" applyFont="1" applyFill="1" applyBorder="1"/>
    <xf numFmtId="164" fontId="11" fillId="13" borderId="2" xfId="1" applyNumberFormat="1" applyFont="1" applyFill="1" applyBorder="1"/>
    <xf numFmtId="41" fontId="11" fillId="13" borderId="1" xfId="2" applyNumberFormat="1" applyFont="1" applyFill="1" applyBorder="1"/>
    <xf numFmtId="164" fontId="1" fillId="13" borderId="2" xfId="1" applyNumberFormat="1" applyFont="1" applyFill="1" applyBorder="1"/>
    <xf numFmtId="41" fontId="1" fillId="13" borderId="1" xfId="2" applyNumberFormat="1" applyFont="1" applyFill="1" applyBorder="1"/>
    <xf numFmtId="164" fontId="0" fillId="13" borderId="1" xfId="1" applyNumberFormat="1" applyFont="1" applyFill="1" applyBorder="1"/>
    <xf numFmtId="3" fontId="0" fillId="13" borderId="1" xfId="0" applyNumberFormat="1" applyFill="1" applyBorder="1"/>
    <xf numFmtId="164" fontId="4" fillId="14" borderId="1" xfId="1" applyNumberFormat="1" applyFont="1" applyFill="1" applyBorder="1" applyAlignment="1">
      <alignment vertical="center"/>
    </xf>
    <xf numFmtId="164" fontId="0" fillId="14" borderId="2" xfId="1" applyNumberFormat="1" applyFont="1" applyFill="1" applyBorder="1"/>
    <xf numFmtId="41" fontId="0" fillId="14" borderId="1" xfId="2" applyNumberFormat="1" applyFont="1" applyFill="1" applyBorder="1"/>
    <xf numFmtId="2" fontId="15" fillId="14" borderId="9" xfId="0" applyNumberFormat="1" applyFont="1" applyFill="1" applyBorder="1" applyAlignment="1">
      <alignment vertical="top" wrapText="1"/>
    </xf>
    <xf numFmtId="0" fontId="15" fillId="14" borderId="10" xfId="0" applyFont="1" applyFill="1" applyBorder="1" applyAlignment="1">
      <alignment horizontal="right" vertical="top" wrapText="1"/>
    </xf>
    <xf numFmtId="2" fontId="15" fillId="14" borderId="9" xfId="0" applyNumberFormat="1" applyFont="1" applyFill="1" applyBorder="1" applyAlignment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0" fontId="14" fillId="0" borderId="1" xfId="0" applyFont="1" applyBorder="1" applyAlignment="1" applyProtection="1">
      <alignment horizontal="right" vertical="top" wrapText="1"/>
      <protection locked="0"/>
    </xf>
    <xf numFmtId="164" fontId="14" fillId="2" borderId="1" xfId="1" applyNumberFormat="1" applyFont="1" applyFill="1" applyBorder="1" applyAlignment="1">
      <alignment vertical="center"/>
    </xf>
    <xf numFmtId="164" fontId="2" fillId="13" borderId="2" xfId="1" applyNumberFormat="1" applyFont="1" applyFill="1" applyBorder="1" applyAlignment="1">
      <alignment horizontal="center"/>
    </xf>
    <xf numFmtId="3" fontId="0" fillId="0" borderId="0" xfId="0" applyNumberFormat="1"/>
    <xf numFmtId="164" fontId="6" fillId="8" borderId="2" xfId="1" applyNumberFormat="1" applyFont="1" applyFill="1" applyBorder="1"/>
    <xf numFmtId="41" fontId="6" fillId="8" borderId="1" xfId="2" applyNumberFormat="1" applyFont="1" applyFill="1" applyBorder="1"/>
    <xf numFmtId="41" fontId="0" fillId="6" borderId="1" xfId="2" applyNumberFormat="1" applyFont="1" applyFill="1" applyBorder="1" applyAlignment="1">
      <alignment vertical="top"/>
    </xf>
    <xf numFmtId="41" fontId="0" fillId="6" borderId="1" xfId="2" applyNumberFormat="1" applyFont="1" applyFill="1" applyBorder="1" applyAlignment="1">
      <alignment vertical="top" wrapText="1"/>
    </xf>
    <xf numFmtId="164" fontId="0" fillId="6" borderId="2" xfId="1" applyNumberFormat="1" applyFont="1" applyFill="1" applyBorder="1" applyAlignment="1">
      <alignment vertical="top" wrapText="1"/>
    </xf>
    <xf numFmtId="164" fontId="4" fillId="2" borderId="1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7B3C6-5158-4259-86E7-E591BA11C4C4}">
  <dimension ref="A1:K122"/>
  <sheetViews>
    <sheetView tabSelected="1" zoomScaleNormal="100" workbookViewId="0">
      <selection activeCell="G53" sqref="G53"/>
    </sheetView>
  </sheetViews>
  <sheetFormatPr defaultRowHeight="15" x14ac:dyDescent="0.25"/>
  <cols>
    <col min="1" max="1" width="34.140625" customWidth="1"/>
    <col min="2" max="2" width="8.140625" customWidth="1"/>
    <col min="3" max="3" width="12.5703125" customWidth="1"/>
    <col min="4" max="4" width="12.7109375" customWidth="1"/>
    <col min="5" max="5" width="13" customWidth="1"/>
    <col min="6" max="6" width="13.28515625" customWidth="1"/>
    <col min="7" max="7" width="13.140625" customWidth="1"/>
    <col min="8" max="8" width="13.5703125" customWidth="1"/>
  </cols>
  <sheetData>
    <row r="1" spans="1:8" ht="18.75" x14ac:dyDescent="0.3">
      <c r="A1" s="102" t="s">
        <v>2</v>
      </c>
      <c r="B1" s="44"/>
      <c r="C1" s="42"/>
    </row>
    <row r="2" spans="1:8" ht="15.75" x14ac:dyDescent="0.25">
      <c r="A2" s="43" t="s">
        <v>3</v>
      </c>
      <c r="B2" s="45"/>
      <c r="C2" s="42"/>
    </row>
    <row r="3" spans="1:8" ht="15.75" x14ac:dyDescent="0.25">
      <c r="A3" s="43" t="s">
        <v>4</v>
      </c>
      <c r="B3" s="46"/>
      <c r="C3" s="42"/>
    </row>
    <row r="4" spans="1:8" ht="15.75" x14ac:dyDescent="0.25">
      <c r="A4" s="47" t="s">
        <v>5</v>
      </c>
      <c r="B4" s="44"/>
      <c r="C4" s="42"/>
    </row>
    <row r="5" spans="1:8" ht="15.75" thickBot="1" x14ac:dyDescent="0.3">
      <c r="A5" s="48" t="s">
        <v>134</v>
      </c>
      <c r="B5" s="49"/>
      <c r="C5" s="42"/>
    </row>
    <row r="6" spans="1:8" ht="45.75" thickBot="1" x14ac:dyDescent="0.3">
      <c r="A6" s="50" t="s">
        <v>6</v>
      </c>
      <c r="B6" s="51" t="s">
        <v>7</v>
      </c>
      <c r="C6" s="98" t="s">
        <v>0</v>
      </c>
      <c r="D6" s="2" t="s">
        <v>118</v>
      </c>
      <c r="E6" s="1" t="s">
        <v>102</v>
      </c>
      <c r="F6" s="109" t="s">
        <v>109</v>
      </c>
      <c r="G6" s="110" t="s">
        <v>106</v>
      </c>
      <c r="H6" s="110" t="s">
        <v>129</v>
      </c>
    </row>
    <row r="7" spans="1:8" x14ac:dyDescent="0.25">
      <c r="A7" s="52" t="s">
        <v>8</v>
      </c>
      <c r="B7" s="53"/>
      <c r="C7" s="3"/>
      <c r="D7" s="3"/>
      <c r="E7" s="3" t="s">
        <v>131</v>
      </c>
      <c r="F7" s="4" t="s">
        <v>132</v>
      </c>
      <c r="G7" s="5" t="s">
        <v>133</v>
      </c>
      <c r="H7" s="5" t="s">
        <v>130</v>
      </c>
    </row>
    <row r="8" spans="1:8" x14ac:dyDescent="0.25">
      <c r="A8" s="54" t="s">
        <v>9</v>
      </c>
      <c r="B8" s="55"/>
      <c r="C8" s="99">
        <v>195</v>
      </c>
      <c r="D8" s="7">
        <v>250</v>
      </c>
      <c r="E8" s="6">
        <v>275</v>
      </c>
      <c r="F8" s="111">
        <v>290</v>
      </c>
      <c r="G8" s="112">
        <v>290</v>
      </c>
      <c r="H8" s="112">
        <v>290</v>
      </c>
    </row>
    <row r="9" spans="1:8" x14ac:dyDescent="0.25">
      <c r="A9" s="56" t="s">
        <v>93</v>
      </c>
      <c r="B9" s="57"/>
      <c r="C9" s="100">
        <v>0.95</v>
      </c>
      <c r="D9" s="9">
        <v>0.95599999999999996</v>
      </c>
      <c r="E9" s="8">
        <v>0.95</v>
      </c>
      <c r="F9" s="113">
        <v>0.95</v>
      </c>
      <c r="G9" s="114">
        <v>0.95</v>
      </c>
      <c r="H9" s="114">
        <v>0.95</v>
      </c>
    </row>
    <row r="10" spans="1:8" x14ac:dyDescent="0.25">
      <c r="A10" s="58" t="s">
        <v>10</v>
      </c>
      <c r="B10" s="55"/>
      <c r="C10" s="99">
        <f t="shared" ref="C10:H10" si="0">C8*C9</f>
        <v>185.25</v>
      </c>
      <c r="D10" s="7">
        <f t="shared" si="0"/>
        <v>239</v>
      </c>
      <c r="E10" s="6">
        <f t="shared" si="0"/>
        <v>261.25</v>
      </c>
      <c r="F10" s="115">
        <f t="shared" si="0"/>
        <v>275.5</v>
      </c>
      <c r="G10" s="116">
        <f t="shared" si="0"/>
        <v>275.5</v>
      </c>
      <c r="H10" s="116">
        <f t="shared" si="0"/>
        <v>275.5</v>
      </c>
    </row>
    <row r="11" spans="1:8" x14ac:dyDescent="0.25">
      <c r="A11" s="54" t="s">
        <v>105</v>
      </c>
      <c r="B11" s="55"/>
      <c r="C11" s="99"/>
      <c r="D11" s="7"/>
      <c r="E11" s="6">
        <f>0.6*E8</f>
        <v>165</v>
      </c>
      <c r="F11" s="115"/>
      <c r="G11" s="116"/>
      <c r="H11" s="116"/>
    </row>
    <row r="12" spans="1:8" ht="17.25" customHeight="1" x14ac:dyDescent="0.25">
      <c r="A12" s="54" t="s">
        <v>11</v>
      </c>
      <c r="B12" s="55"/>
      <c r="C12" s="99">
        <v>7500</v>
      </c>
      <c r="D12" s="7">
        <v>5420</v>
      </c>
      <c r="E12" s="6">
        <v>5420</v>
      </c>
      <c r="F12" s="115">
        <v>5500</v>
      </c>
      <c r="G12" s="116">
        <v>5500</v>
      </c>
      <c r="H12" s="116">
        <v>5500</v>
      </c>
    </row>
    <row r="13" spans="1:8" x14ac:dyDescent="0.25">
      <c r="A13" s="54" t="s">
        <v>103</v>
      </c>
      <c r="B13" s="55"/>
      <c r="C13" s="99"/>
      <c r="D13" s="7">
        <v>1933</v>
      </c>
      <c r="E13" s="6">
        <v>1975</v>
      </c>
      <c r="F13" s="115">
        <v>1975</v>
      </c>
      <c r="G13" s="131">
        <v>1975</v>
      </c>
      <c r="H13" s="131">
        <v>1975</v>
      </c>
    </row>
    <row r="14" spans="1:8" x14ac:dyDescent="0.25">
      <c r="A14" s="54" t="s">
        <v>13</v>
      </c>
      <c r="B14" s="55"/>
      <c r="C14" s="99">
        <v>400</v>
      </c>
      <c r="D14" s="7">
        <v>180</v>
      </c>
      <c r="E14" s="6">
        <v>200</v>
      </c>
      <c r="F14" s="115">
        <v>200</v>
      </c>
      <c r="G14" s="116">
        <v>200</v>
      </c>
      <c r="H14" s="116">
        <v>200</v>
      </c>
    </row>
    <row r="15" spans="1:8" x14ac:dyDescent="0.25">
      <c r="A15" s="54" t="s">
        <v>12</v>
      </c>
      <c r="B15" s="55"/>
      <c r="C15" s="99"/>
      <c r="D15" s="7">
        <v>87.09</v>
      </c>
      <c r="E15" s="6">
        <v>85</v>
      </c>
      <c r="F15" s="115">
        <v>85</v>
      </c>
      <c r="G15" s="116">
        <v>85</v>
      </c>
      <c r="H15" s="116">
        <v>85</v>
      </c>
    </row>
    <row r="16" spans="1:8" x14ac:dyDescent="0.25">
      <c r="A16" s="54" t="s">
        <v>14</v>
      </c>
      <c r="B16" s="55"/>
      <c r="C16" s="99">
        <v>1290</v>
      </c>
      <c r="D16" s="7">
        <v>1588</v>
      </c>
      <c r="E16" s="6">
        <v>1588</v>
      </c>
      <c r="F16" s="115">
        <v>1588</v>
      </c>
      <c r="G16" s="116">
        <v>1588</v>
      </c>
      <c r="H16" s="116">
        <v>1588</v>
      </c>
    </row>
    <row r="17" spans="1:8" ht="1.5" customHeight="1" thickBot="1" x14ac:dyDescent="0.3">
      <c r="A17" s="59"/>
      <c r="B17" s="60"/>
      <c r="C17" s="99"/>
      <c r="D17" s="7"/>
      <c r="E17" s="6"/>
      <c r="F17" s="115"/>
      <c r="G17" s="116"/>
      <c r="H17" s="116"/>
    </row>
    <row r="18" spans="1:8" x14ac:dyDescent="0.25">
      <c r="A18" s="52" t="s">
        <v>15</v>
      </c>
      <c r="B18" s="61"/>
      <c r="C18" s="3"/>
      <c r="D18" s="3"/>
      <c r="E18" s="3"/>
      <c r="F18" s="10"/>
      <c r="G18" s="5"/>
      <c r="H18" s="5"/>
    </row>
    <row r="19" spans="1:8" x14ac:dyDescent="0.25">
      <c r="A19" s="137" t="s">
        <v>16</v>
      </c>
      <c r="B19" s="136"/>
      <c r="C19" s="132"/>
      <c r="D19" s="132"/>
      <c r="E19" s="132"/>
      <c r="F19" s="107"/>
      <c r="G19" s="108"/>
      <c r="H19" s="108"/>
    </row>
    <row r="20" spans="1:8" x14ac:dyDescent="0.25">
      <c r="A20" s="63" t="s">
        <v>17</v>
      </c>
      <c r="B20" s="64">
        <v>8015</v>
      </c>
      <c r="C20" s="99">
        <f t="shared" ref="C20" si="1">C10*C12</f>
        <v>1389375</v>
      </c>
      <c r="D20" s="7">
        <f>D10*D12</f>
        <v>1295380</v>
      </c>
      <c r="E20" s="6">
        <f>E10*E12</f>
        <v>1415975</v>
      </c>
      <c r="F20" s="115">
        <f>F10*F12</f>
        <v>1515250</v>
      </c>
      <c r="G20" s="117">
        <f>G10*G12</f>
        <v>1515250</v>
      </c>
      <c r="H20" s="117">
        <f>H10*H12</f>
        <v>1515250</v>
      </c>
    </row>
    <row r="21" spans="1:8" x14ac:dyDescent="0.25">
      <c r="A21" s="63" t="s">
        <v>18</v>
      </c>
      <c r="B21" s="64">
        <v>8019</v>
      </c>
      <c r="C21" s="99">
        <v>5656</v>
      </c>
      <c r="D21" s="7"/>
      <c r="E21" s="6"/>
      <c r="F21" s="115"/>
      <c r="G21" s="118"/>
      <c r="H21" s="118"/>
    </row>
    <row r="22" spans="1:8" x14ac:dyDescent="0.25">
      <c r="A22" s="137" t="s">
        <v>19</v>
      </c>
      <c r="B22" s="136"/>
      <c r="C22" s="132"/>
      <c r="D22" s="132"/>
      <c r="E22" s="132"/>
      <c r="F22" s="133"/>
      <c r="G22" s="134"/>
      <c r="H22" s="134"/>
    </row>
    <row r="23" spans="1:8" x14ac:dyDescent="0.25">
      <c r="A23" s="54" t="s">
        <v>20</v>
      </c>
      <c r="B23" s="64">
        <v>8290</v>
      </c>
      <c r="C23" s="99"/>
      <c r="D23" s="16"/>
      <c r="E23" s="6">
        <v>37532</v>
      </c>
      <c r="F23" s="115">
        <v>45000</v>
      </c>
      <c r="G23" s="118">
        <v>45000</v>
      </c>
      <c r="H23" s="118">
        <v>45000</v>
      </c>
    </row>
    <row r="24" spans="1:8" x14ac:dyDescent="0.25">
      <c r="A24" s="63" t="s">
        <v>21</v>
      </c>
      <c r="B24" s="64">
        <v>8290</v>
      </c>
      <c r="C24" s="99"/>
      <c r="D24" s="7">
        <v>75153</v>
      </c>
      <c r="E24" s="6">
        <v>30000</v>
      </c>
      <c r="F24" s="115">
        <v>30000</v>
      </c>
      <c r="G24" s="118">
        <v>30000</v>
      </c>
      <c r="H24" s="118">
        <v>30000</v>
      </c>
    </row>
    <row r="25" spans="1:8" ht="14.45" customHeight="1" x14ac:dyDescent="0.25">
      <c r="A25" s="63" t="s">
        <v>22</v>
      </c>
      <c r="B25" s="64">
        <v>8220</v>
      </c>
      <c r="C25" s="99"/>
      <c r="D25" s="7"/>
      <c r="E25" s="6">
        <v>8892</v>
      </c>
      <c r="F25" s="115">
        <v>8892</v>
      </c>
      <c r="G25" s="118"/>
      <c r="H25" s="118"/>
    </row>
    <row r="26" spans="1:8" x14ac:dyDescent="0.25">
      <c r="A26" s="63" t="s">
        <v>23</v>
      </c>
      <c r="B26" s="64">
        <v>8290</v>
      </c>
      <c r="C26" s="99"/>
      <c r="D26" s="7"/>
      <c r="E26" s="6">
        <v>450</v>
      </c>
      <c r="F26" s="115"/>
      <c r="G26" s="118"/>
      <c r="H26" s="118"/>
    </row>
    <row r="27" spans="1:8" x14ac:dyDescent="0.25">
      <c r="A27" s="54" t="s">
        <v>24</v>
      </c>
      <c r="B27" s="64">
        <v>8290</v>
      </c>
      <c r="C27" s="99"/>
      <c r="D27" s="7"/>
      <c r="E27" s="6">
        <v>4000</v>
      </c>
      <c r="F27" s="115">
        <v>4000</v>
      </c>
      <c r="G27" s="118">
        <v>4000</v>
      </c>
      <c r="H27" s="118">
        <v>4000</v>
      </c>
    </row>
    <row r="28" spans="1:8" ht="13.5" customHeight="1" x14ac:dyDescent="0.25">
      <c r="A28" s="63" t="s">
        <v>25</v>
      </c>
      <c r="B28" s="64">
        <v>8290</v>
      </c>
      <c r="C28" s="99"/>
      <c r="D28" s="7"/>
      <c r="E28" s="6"/>
      <c r="F28" s="115"/>
      <c r="G28" s="118"/>
      <c r="H28" s="118"/>
    </row>
    <row r="29" spans="1:8" x14ac:dyDescent="0.25">
      <c r="A29" s="63" t="s">
        <v>127</v>
      </c>
      <c r="B29" s="64">
        <v>8290</v>
      </c>
      <c r="C29" s="99"/>
      <c r="D29" s="7"/>
      <c r="E29" s="6"/>
      <c r="F29" s="115">
        <v>8000</v>
      </c>
      <c r="G29" s="118">
        <v>8000</v>
      </c>
      <c r="H29" s="118">
        <v>8000</v>
      </c>
    </row>
    <row r="30" spans="1:8" x14ac:dyDescent="0.25">
      <c r="A30" s="66" t="s">
        <v>26</v>
      </c>
      <c r="B30" s="67"/>
      <c r="C30" s="101">
        <f t="shared" ref="C30:H30" si="2">SUM(C23:C29)</f>
        <v>0</v>
      </c>
      <c r="D30" s="18">
        <f t="shared" si="2"/>
        <v>75153</v>
      </c>
      <c r="E30" s="17">
        <f t="shared" si="2"/>
        <v>80874</v>
      </c>
      <c r="F30" s="119">
        <f t="shared" si="2"/>
        <v>95892</v>
      </c>
      <c r="G30" s="120">
        <f t="shared" si="2"/>
        <v>87000</v>
      </c>
      <c r="H30" s="120">
        <f t="shared" si="2"/>
        <v>87000</v>
      </c>
    </row>
    <row r="31" spans="1:8" x14ac:dyDescent="0.25">
      <c r="A31" s="135" t="s">
        <v>27</v>
      </c>
      <c r="B31" s="136"/>
      <c r="C31" s="132"/>
      <c r="D31" s="132"/>
      <c r="E31" s="132"/>
      <c r="F31" s="133"/>
      <c r="G31" s="134"/>
      <c r="H31" s="134"/>
    </row>
    <row r="32" spans="1:8" x14ac:dyDescent="0.25">
      <c r="A32" s="54" t="s">
        <v>28</v>
      </c>
      <c r="B32" s="64">
        <v>8590</v>
      </c>
      <c r="C32" s="99"/>
      <c r="D32" s="7"/>
      <c r="E32" s="6"/>
      <c r="F32" s="115"/>
      <c r="G32" s="118"/>
      <c r="H32" s="118"/>
    </row>
    <row r="33" spans="1:8" x14ac:dyDescent="0.25">
      <c r="A33" s="54" t="s">
        <v>12</v>
      </c>
      <c r="B33" s="64">
        <v>8590</v>
      </c>
      <c r="C33" s="99">
        <f t="shared" ref="C33" si="3">C10*C13</f>
        <v>0</v>
      </c>
      <c r="D33" s="7">
        <f>D10*D15</f>
        <v>20814.510000000002</v>
      </c>
      <c r="E33" s="6">
        <f>E10*E15</f>
        <v>22206.25</v>
      </c>
      <c r="F33" s="115">
        <f>F10*F15</f>
        <v>23417.5</v>
      </c>
      <c r="G33" s="118">
        <f>G10*G15</f>
        <v>23417.5</v>
      </c>
      <c r="H33" s="118">
        <f>H10*H15</f>
        <v>23417.5</v>
      </c>
    </row>
    <row r="34" spans="1:8" x14ac:dyDescent="0.25">
      <c r="A34" s="54" t="s">
        <v>29</v>
      </c>
      <c r="B34" s="64">
        <v>8560</v>
      </c>
      <c r="C34" s="99">
        <f t="shared" ref="C34:E34" si="4">ROUND(C10*C14,0)</f>
        <v>74100</v>
      </c>
      <c r="D34" s="7">
        <f t="shared" si="4"/>
        <v>43020</v>
      </c>
      <c r="E34" s="6">
        <f t="shared" si="4"/>
        <v>52250</v>
      </c>
      <c r="F34" s="115">
        <f>F10*F14</f>
        <v>55100</v>
      </c>
      <c r="G34" s="118">
        <f>G10*G14</f>
        <v>55100</v>
      </c>
      <c r="H34" s="118">
        <f>H10*H14</f>
        <v>55100</v>
      </c>
    </row>
    <row r="35" spans="1:8" ht="19.5" customHeight="1" x14ac:dyDescent="0.25">
      <c r="A35" s="54" t="s">
        <v>30</v>
      </c>
      <c r="B35" s="64">
        <v>8311</v>
      </c>
      <c r="C35" s="99">
        <f>(C10*C16)</f>
        <v>238972.5</v>
      </c>
      <c r="D35" s="7">
        <f>(D10*D16)</f>
        <v>379532</v>
      </c>
      <c r="E35" s="6">
        <f>(E10*E16)</f>
        <v>414865</v>
      </c>
      <c r="F35" s="115">
        <f>F10*F16</f>
        <v>437494</v>
      </c>
      <c r="G35" s="118">
        <f>G10*G16</f>
        <v>437494</v>
      </c>
      <c r="H35" s="118">
        <f>H10*H16</f>
        <v>437494</v>
      </c>
    </row>
    <row r="36" spans="1:8" ht="19.350000000000001" customHeight="1" x14ac:dyDescent="0.25">
      <c r="A36" s="54" t="s">
        <v>31</v>
      </c>
      <c r="B36" s="64">
        <v>8590</v>
      </c>
      <c r="C36" s="99"/>
      <c r="D36" s="7"/>
      <c r="E36" s="6"/>
      <c r="F36" s="115"/>
      <c r="G36" s="118"/>
      <c r="H36" s="118"/>
    </row>
    <row r="37" spans="1:8" ht="16.7" customHeight="1" x14ac:dyDescent="0.25">
      <c r="A37" s="54" t="s">
        <v>32</v>
      </c>
      <c r="B37" s="64">
        <v>8590</v>
      </c>
      <c r="C37" s="99"/>
      <c r="D37" s="7"/>
      <c r="E37" s="6">
        <v>1494</v>
      </c>
      <c r="F37" s="115"/>
      <c r="G37" s="118"/>
      <c r="H37" s="118"/>
    </row>
    <row r="38" spans="1:8" x14ac:dyDescent="0.25">
      <c r="A38" s="54" t="s">
        <v>33</v>
      </c>
      <c r="B38" s="64">
        <v>8590</v>
      </c>
      <c r="C38" s="99">
        <v>124500</v>
      </c>
      <c r="D38" s="7"/>
      <c r="E38" s="6"/>
      <c r="F38" s="115"/>
      <c r="G38" s="118"/>
      <c r="H38" s="118"/>
    </row>
    <row r="39" spans="1:8" x14ac:dyDescent="0.25">
      <c r="A39" s="69" t="s">
        <v>34</v>
      </c>
      <c r="B39" s="67"/>
      <c r="C39" s="101">
        <f t="shared" ref="C39" si="5">SUM(C32:C38)</f>
        <v>437572.5</v>
      </c>
      <c r="D39" s="18">
        <f>SUM(D32:D38)</f>
        <v>443366.51</v>
      </c>
      <c r="E39" s="17">
        <f>SUM(E32:E38)</f>
        <v>490815.25</v>
      </c>
      <c r="F39" s="119">
        <f>SUM(F32:F38)</f>
        <v>516011.5</v>
      </c>
      <c r="G39" s="120">
        <f>SUM(G32:G38)</f>
        <v>516011.5</v>
      </c>
      <c r="H39" s="120">
        <f>SUM(H32:H38)</f>
        <v>516011.5</v>
      </c>
    </row>
    <row r="40" spans="1:8" x14ac:dyDescent="0.25">
      <c r="A40" s="135" t="s">
        <v>35</v>
      </c>
      <c r="B40" s="136"/>
      <c r="C40" s="132"/>
      <c r="D40" s="132"/>
      <c r="E40" s="132"/>
      <c r="F40" s="133"/>
      <c r="G40" s="134"/>
      <c r="H40" s="134"/>
    </row>
    <row r="41" spans="1:8" x14ac:dyDescent="0.25">
      <c r="A41" s="54" t="s">
        <v>36</v>
      </c>
      <c r="B41" s="64">
        <v>8800</v>
      </c>
      <c r="C41" s="99"/>
      <c r="D41" s="7"/>
      <c r="E41" s="6"/>
      <c r="F41" s="115"/>
      <c r="G41" s="118"/>
      <c r="H41" s="118"/>
    </row>
    <row r="42" spans="1:8" x14ac:dyDescent="0.25">
      <c r="A42" s="54" t="s">
        <v>37</v>
      </c>
      <c r="B42" s="64">
        <v>8700</v>
      </c>
      <c r="C42" s="99"/>
      <c r="D42" s="7"/>
      <c r="E42" s="6"/>
      <c r="F42" s="115"/>
      <c r="G42" s="118"/>
      <c r="H42" s="118"/>
    </row>
    <row r="43" spans="1:8" x14ac:dyDescent="0.25">
      <c r="A43" s="54" t="s">
        <v>104</v>
      </c>
      <c r="B43" s="64"/>
      <c r="C43" s="99"/>
      <c r="D43" s="7">
        <f>D10*D13</f>
        <v>461987</v>
      </c>
      <c r="E43" s="6">
        <f>E10*E13</f>
        <v>515968.75</v>
      </c>
      <c r="F43" s="115">
        <f>F10*F13</f>
        <v>544112.5</v>
      </c>
      <c r="G43" s="118">
        <f>G10*G13</f>
        <v>544112.5</v>
      </c>
      <c r="H43" s="118">
        <f>H10*H13</f>
        <v>544112.5</v>
      </c>
    </row>
    <row r="44" spans="1:8" x14ac:dyDescent="0.25">
      <c r="A44" s="69" t="s">
        <v>38</v>
      </c>
      <c r="B44" s="67"/>
      <c r="C44" s="99"/>
      <c r="D44" s="7">
        <f>D41+D42+D43</f>
        <v>461987</v>
      </c>
      <c r="E44" s="6">
        <f>E41+E42+E43</f>
        <v>515968.75</v>
      </c>
      <c r="F44" s="115">
        <f>F41+F42+F43</f>
        <v>544112.5</v>
      </c>
      <c r="G44" s="118">
        <f>G41+G42+G43</f>
        <v>544112.5</v>
      </c>
      <c r="H44" s="118">
        <f>H41+H42+H43</f>
        <v>544112.5</v>
      </c>
    </row>
    <row r="45" spans="1:8" ht="16.5" thickBot="1" x14ac:dyDescent="0.3">
      <c r="A45" s="70" t="s">
        <v>39</v>
      </c>
      <c r="B45" s="71"/>
      <c r="C45" s="103">
        <f t="shared" ref="C45" si="6">C20+C21+C30+C39+C44</f>
        <v>1832603.5</v>
      </c>
      <c r="D45" s="20">
        <f>D20+D21+D30+D39+D44</f>
        <v>2275886.5099999998</v>
      </c>
      <c r="E45" s="19">
        <f>E20+E21+E30+E39+E44</f>
        <v>2503633</v>
      </c>
      <c r="F45" s="119">
        <f>F20+F21+F30+F39+F44</f>
        <v>2671266</v>
      </c>
      <c r="G45" s="120">
        <f>G20+G21+G30+G39+G44</f>
        <v>2662374</v>
      </c>
      <c r="H45" s="120">
        <f>H20+H21+H30+H39+H44</f>
        <v>2662374</v>
      </c>
    </row>
    <row r="46" spans="1:8" x14ac:dyDescent="0.25">
      <c r="A46" s="52" t="s">
        <v>40</v>
      </c>
      <c r="B46" s="72"/>
      <c r="C46" s="3"/>
      <c r="D46" s="3"/>
      <c r="E46" s="3"/>
      <c r="F46" s="10"/>
      <c r="G46" s="21"/>
      <c r="H46" s="21"/>
    </row>
    <row r="47" spans="1:8" x14ac:dyDescent="0.25">
      <c r="A47" s="135" t="s">
        <v>41</v>
      </c>
      <c r="B47" s="136"/>
      <c r="C47" s="132"/>
      <c r="D47" s="132"/>
      <c r="E47" s="132"/>
      <c r="F47" s="133"/>
      <c r="G47" s="134"/>
      <c r="H47" s="134"/>
    </row>
    <row r="48" spans="1:8" x14ac:dyDescent="0.25">
      <c r="A48" s="73" t="s">
        <v>42</v>
      </c>
      <c r="B48" s="62"/>
      <c r="C48" s="99"/>
      <c r="D48" s="7"/>
      <c r="E48" s="6"/>
      <c r="F48" s="115"/>
      <c r="G48" s="118"/>
      <c r="H48" s="118"/>
    </row>
    <row r="49" spans="1:8" x14ac:dyDescent="0.25">
      <c r="A49" s="54" t="s">
        <v>43</v>
      </c>
      <c r="B49" s="64">
        <v>1300</v>
      </c>
      <c r="C49" s="99">
        <v>172500</v>
      </c>
      <c r="D49" s="7">
        <v>187500</v>
      </c>
      <c r="E49" s="6">
        <v>150000</v>
      </c>
      <c r="F49" s="115">
        <v>150000</v>
      </c>
      <c r="G49" s="118">
        <v>150000</v>
      </c>
      <c r="H49" s="118">
        <v>130000</v>
      </c>
    </row>
    <row r="50" spans="1:8" x14ac:dyDescent="0.25">
      <c r="B50" s="64"/>
      <c r="C50" s="104" t="s">
        <v>1</v>
      </c>
      <c r="D50" s="23" t="s">
        <v>125</v>
      </c>
      <c r="E50" s="148" t="s">
        <v>123</v>
      </c>
      <c r="F50" s="111" t="s">
        <v>123</v>
      </c>
      <c r="G50" s="118" t="s">
        <v>123</v>
      </c>
      <c r="H50" s="118" t="s">
        <v>128</v>
      </c>
    </row>
    <row r="51" spans="1:8" x14ac:dyDescent="0.25">
      <c r="A51" s="54"/>
      <c r="B51" s="64"/>
      <c r="C51" s="99"/>
      <c r="D51" s="7"/>
      <c r="E51" s="6"/>
      <c r="F51" s="115"/>
      <c r="G51" s="115"/>
      <c r="H51" s="115"/>
    </row>
    <row r="52" spans="1:8" x14ac:dyDescent="0.25">
      <c r="A52" s="74" t="s">
        <v>44</v>
      </c>
      <c r="B52" s="64"/>
      <c r="C52" s="104" t="s">
        <v>113</v>
      </c>
      <c r="D52" s="24" t="s">
        <v>114</v>
      </c>
      <c r="E52" s="22" t="s">
        <v>124</v>
      </c>
      <c r="F52" s="141" t="s">
        <v>126</v>
      </c>
      <c r="G52" s="141" t="s">
        <v>126</v>
      </c>
      <c r="H52" s="141" t="s">
        <v>126</v>
      </c>
    </row>
    <row r="53" spans="1:8" x14ac:dyDescent="0.25">
      <c r="A53" s="54" t="s">
        <v>94</v>
      </c>
      <c r="B53" s="64">
        <v>1100</v>
      </c>
      <c r="C53" s="99">
        <v>497000</v>
      </c>
      <c r="D53" s="7">
        <v>695350</v>
      </c>
      <c r="E53" s="6">
        <v>622000</v>
      </c>
      <c r="F53" s="115">
        <v>705000</v>
      </c>
      <c r="G53" s="118">
        <v>735000</v>
      </c>
      <c r="H53" s="118">
        <v>765000</v>
      </c>
    </row>
    <row r="54" spans="1:8" ht="17.25" customHeight="1" x14ac:dyDescent="0.25">
      <c r="A54" s="54" t="s">
        <v>45</v>
      </c>
      <c r="B54" s="64">
        <v>1180</v>
      </c>
      <c r="C54" s="99">
        <v>5797</v>
      </c>
      <c r="D54" s="7">
        <v>20000</v>
      </c>
      <c r="E54" s="6">
        <v>15000</v>
      </c>
      <c r="F54" s="115">
        <v>15000</v>
      </c>
      <c r="G54" s="118">
        <v>15000</v>
      </c>
      <c r="H54" s="118">
        <v>15000</v>
      </c>
    </row>
    <row r="55" spans="1:8" x14ac:dyDescent="0.25">
      <c r="A55" s="75" t="s">
        <v>46</v>
      </c>
      <c r="B55" s="62"/>
      <c r="C55" s="105">
        <f t="shared" ref="C55:H55" si="7">SUM(C49:C54)</f>
        <v>675297</v>
      </c>
      <c r="D55" s="26">
        <f t="shared" si="7"/>
        <v>902850</v>
      </c>
      <c r="E55" s="25">
        <f t="shared" si="7"/>
        <v>787000</v>
      </c>
      <c r="F55" s="121">
        <f t="shared" si="7"/>
        <v>870000</v>
      </c>
      <c r="G55" s="122">
        <f t="shared" si="7"/>
        <v>900000</v>
      </c>
      <c r="H55" s="122">
        <f t="shared" si="7"/>
        <v>910000</v>
      </c>
    </row>
    <row r="56" spans="1:8" x14ac:dyDescent="0.25">
      <c r="A56" s="74" t="s">
        <v>47</v>
      </c>
      <c r="B56" s="76"/>
      <c r="C56" s="99"/>
      <c r="D56" s="7"/>
      <c r="E56" s="6"/>
      <c r="F56" s="115"/>
      <c r="G56" s="118"/>
      <c r="H56" s="118"/>
    </row>
    <row r="57" spans="1:8" x14ac:dyDescent="0.25">
      <c r="A57" s="54" t="s">
        <v>95</v>
      </c>
      <c r="B57" s="64">
        <v>2300</v>
      </c>
      <c r="C57" s="99">
        <v>65500</v>
      </c>
      <c r="D57" s="7">
        <v>73000</v>
      </c>
      <c r="E57" s="6">
        <v>75000</v>
      </c>
      <c r="F57" s="115">
        <v>77000</v>
      </c>
      <c r="G57" s="118">
        <v>78000</v>
      </c>
      <c r="H57" s="118">
        <v>89000</v>
      </c>
    </row>
    <row r="58" spans="1:8" x14ac:dyDescent="0.25">
      <c r="A58" s="54" t="s">
        <v>48</v>
      </c>
      <c r="B58" s="64">
        <v>2100</v>
      </c>
      <c r="C58" s="99">
        <v>151332</v>
      </c>
      <c r="D58" s="7">
        <v>185000</v>
      </c>
      <c r="E58" s="6">
        <v>169500</v>
      </c>
      <c r="F58" s="115">
        <v>175000</v>
      </c>
      <c r="G58" s="118">
        <v>181000</v>
      </c>
      <c r="H58" s="118">
        <v>187000</v>
      </c>
    </row>
    <row r="59" spans="1:8" x14ac:dyDescent="0.25">
      <c r="A59" s="54" t="s">
        <v>96</v>
      </c>
      <c r="B59" s="64">
        <v>2200</v>
      </c>
      <c r="C59" s="99">
        <v>38500</v>
      </c>
      <c r="D59" s="7">
        <v>47500</v>
      </c>
      <c r="E59" s="6">
        <v>50000</v>
      </c>
      <c r="F59" s="115">
        <v>52000</v>
      </c>
      <c r="G59" s="118">
        <v>52500</v>
      </c>
      <c r="H59" s="118">
        <v>53000</v>
      </c>
    </row>
    <row r="60" spans="1:8" x14ac:dyDescent="0.25">
      <c r="A60" s="54" t="s">
        <v>97</v>
      </c>
      <c r="B60" s="64">
        <v>2400</v>
      </c>
      <c r="C60" s="99">
        <v>200</v>
      </c>
      <c r="D60" s="7">
        <v>1500</v>
      </c>
      <c r="E60" s="6">
        <v>4500</v>
      </c>
      <c r="F60" s="115">
        <v>4500</v>
      </c>
      <c r="G60" s="118">
        <v>4500</v>
      </c>
      <c r="H60" s="118">
        <v>4500</v>
      </c>
    </row>
    <row r="61" spans="1:8" x14ac:dyDescent="0.25">
      <c r="A61" s="75" t="s">
        <v>49</v>
      </c>
      <c r="B61" s="62"/>
      <c r="C61" s="105">
        <f>SUM(C57:C60)</f>
        <v>255532</v>
      </c>
      <c r="D61" s="26">
        <f t="shared" ref="D61:E61" si="8">SUM(D57:D60)</f>
        <v>307000</v>
      </c>
      <c r="E61" s="25">
        <f t="shared" si="8"/>
        <v>299000</v>
      </c>
      <c r="F61" s="121">
        <f>SUM(F57:F60)</f>
        <v>308500</v>
      </c>
      <c r="G61" s="122">
        <f>SUM(G57:G60)</f>
        <v>316000</v>
      </c>
      <c r="H61" s="122">
        <f>SUM(H57:H60)</f>
        <v>333500</v>
      </c>
    </row>
    <row r="62" spans="1:8" x14ac:dyDescent="0.25">
      <c r="A62" s="74" t="s">
        <v>50</v>
      </c>
      <c r="B62" s="76"/>
      <c r="C62" s="99"/>
      <c r="D62" s="7"/>
      <c r="E62" s="6"/>
      <c r="F62" s="115"/>
      <c r="G62" s="118"/>
      <c r="H62" s="118"/>
    </row>
    <row r="63" spans="1:8" x14ac:dyDescent="0.25">
      <c r="A63" s="58" t="s">
        <v>51</v>
      </c>
      <c r="B63" s="64">
        <v>3300</v>
      </c>
      <c r="C63" s="99">
        <f>SUM(C61)*0.062</f>
        <v>15842.984</v>
      </c>
      <c r="D63" s="7">
        <f>SUM(D61)*0.062</f>
        <v>19034</v>
      </c>
      <c r="E63" s="6">
        <f>SUM(E61)*0.062</f>
        <v>18538</v>
      </c>
      <c r="F63" s="115">
        <f>SUM(F61*0.062)</f>
        <v>19127</v>
      </c>
      <c r="G63" s="118">
        <f>SUM(G61*0.062)</f>
        <v>19592</v>
      </c>
      <c r="H63" s="118">
        <f>SUM(H61*0.062)</f>
        <v>20677</v>
      </c>
    </row>
    <row r="64" spans="1:8" x14ac:dyDescent="0.25">
      <c r="A64" s="58" t="s">
        <v>52</v>
      </c>
      <c r="B64" s="64">
        <v>3300</v>
      </c>
      <c r="C64" s="99">
        <f t="shared" ref="C64:H64" si="9">SUM(C55+C61)*0.0145</f>
        <v>13497.020500000001</v>
      </c>
      <c r="D64" s="7">
        <f t="shared" si="9"/>
        <v>17542.825000000001</v>
      </c>
      <c r="E64" s="6">
        <f t="shared" si="9"/>
        <v>15747</v>
      </c>
      <c r="F64" s="115">
        <f t="shared" si="9"/>
        <v>17088.25</v>
      </c>
      <c r="G64" s="118">
        <f t="shared" si="9"/>
        <v>17632</v>
      </c>
      <c r="H64" s="118">
        <f t="shared" si="9"/>
        <v>18030.75</v>
      </c>
    </row>
    <row r="65" spans="1:8" ht="13.7" customHeight="1" x14ac:dyDescent="0.25">
      <c r="A65" s="77" t="s">
        <v>110</v>
      </c>
      <c r="B65" s="64">
        <v>3400</v>
      </c>
      <c r="C65" s="99">
        <v>145532</v>
      </c>
      <c r="D65" s="7">
        <v>252000</v>
      </c>
      <c r="E65" s="6">
        <v>189000</v>
      </c>
      <c r="F65" s="123">
        <v>204000</v>
      </c>
      <c r="G65" s="124">
        <v>208000</v>
      </c>
      <c r="H65" s="124">
        <v>212000</v>
      </c>
    </row>
    <row r="66" spans="1:8" x14ac:dyDescent="0.25">
      <c r="A66" s="58" t="s">
        <v>53</v>
      </c>
      <c r="B66" s="64">
        <v>3100</v>
      </c>
      <c r="C66" s="99">
        <f>SUM(C55)*0.1521</f>
        <v>102712.67370000001</v>
      </c>
      <c r="D66" s="7">
        <f>SUM(D55)*0.17205</f>
        <v>155335.3425</v>
      </c>
      <c r="E66" s="6">
        <f>SUM(E55)*0.18615</f>
        <v>146500.05000000002</v>
      </c>
      <c r="F66" s="115">
        <f>SUM(F55*0.191)</f>
        <v>166170</v>
      </c>
      <c r="G66" s="118">
        <f>SUM(G55*0.191)</f>
        <v>171900</v>
      </c>
      <c r="H66" s="118">
        <f>SUM(H55*0.191)</f>
        <v>173810</v>
      </c>
    </row>
    <row r="67" spans="1:8" x14ac:dyDescent="0.25">
      <c r="A67" s="58" t="s">
        <v>98</v>
      </c>
      <c r="B67" s="64">
        <v>3600</v>
      </c>
      <c r="C67" s="99">
        <v>21940</v>
      </c>
      <c r="D67" s="7">
        <v>22000</v>
      </c>
      <c r="E67" s="6">
        <f>(E55+E61)*0.01*1.85</f>
        <v>20091</v>
      </c>
      <c r="F67" s="115">
        <f>(F55+F61)*0.01*1.85</f>
        <v>21802.25</v>
      </c>
      <c r="G67" s="118">
        <f>(G55+G61)*0.01*1.85</f>
        <v>22496</v>
      </c>
      <c r="H67" s="118">
        <f>(H55+H61)*0.01*1.85</f>
        <v>23004.75</v>
      </c>
    </row>
    <row r="68" spans="1:8" x14ac:dyDescent="0.25">
      <c r="A68" s="58" t="s">
        <v>54</v>
      </c>
      <c r="B68" s="64">
        <v>3500</v>
      </c>
      <c r="C68" s="99">
        <f>0.03*C61</f>
        <v>7665.96</v>
      </c>
      <c r="D68" s="7">
        <v>12500</v>
      </c>
      <c r="E68" s="6">
        <f>(E55+E61)*0.01</f>
        <v>10860</v>
      </c>
      <c r="F68" s="115">
        <f>(F55+F61)*0.01</f>
        <v>11785</v>
      </c>
      <c r="G68" s="118">
        <f>(G55+G61)*0.01</f>
        <v>12160</v>
      </c>
      <c r="H68" s="118">
        <f>(H55+H61)*0.01</f>
        <v>12435</v>
      </c>
    </row>
    <row r="69" spans="1:8" x14ac:dyDescent="0.25">
      <c r="A69" s="58" t="s">
        <v>55</v>
      </c>
      <c r="B69" s="64">
        <v>3200</v>
      </c>
      <c r="C69" s="99">
        <v>12776</v>
      </c>
      <c r="D69" s="7">
        <v>6000</v>
      </c>
      <c r="E69" s="6">
        <v>6000</v>
      </c>
      <c r="F69" s="115">
        <v>6000</v>
      </c>
      <c r="G69" s="118">
        <v>6000</v>
      </c>
      <c r="H69" s="118">
        <v>6000</v>
      </c>
    </row>
    <row r="70" spans="1:8" x14ac:dyDescent="0.25">
      <c r="A70" s="75" t="s">
        <v>56</v>
      </c>
      <c r="B70" s="78"/>
      <c r="C70" s="105">
        <f>SUM(C63:C69)</f>
        <v>319966.63820000004</v>
      </c>
      <c r="D70" s="26">
        <f t="shared" ref="D70:E70" si="10">SUM(D63:D69)</f>
        <v>484412.16749999998</v>
      </c>
      <c r="E70" s="25">
        <f t="shared" si="10"/>
        <v>406736.05000000005</v>
      </c>
      <c r="F70" s="121">
        <f>SUM(F63:F69)</f>
        <v>445972.5</v>
      </c>
      <c r="G70" s="122">
        <f>SUM(G63:G69)</f>
        <v>457780</v>
      </c>
      <c r="H70" s="122">
        <f>SUM(H63:H69)</f>
        <v>465957.5</v>
      </c>
    </row>
    <row r="71" spans="1:8" x14ac:dyDescent="0.25">
      <c r="A71" s="69" t="s">
        <v>57</v>
      </c>
      <c r="B71" s="79"/>
      <c r="C71" s="101">
        <f t="shared" ref="C71:E71" si="11">C55+C61+C70</f>
        <v>1250795.6381999999</v>
      </c>
      <c r="D71" s="18">
        <f t="shared" si="11"/>
        <v>1694262.1675</v>
      </c>
      <c r="E71" s="17">
        <f t="shared" si="11"/>
        <v>1492736.05</v>
      </c>
      <c r="F71" s="119">
        <f>F55+F61+F70</f>
        <v>1624472.5</v>
      </c>
      <c r="G71" s="120">
        <f>G55+G61+G70</f>
        <v>1673780</v>
      </c>
      <c r="H71" s="120">
        <f>H55+H61+H70</f>
        <v>1709457.5</v>
      </c>
    </row>
    <row r="72" spans="1:8" x14ac:dyDescent="0.25">
      <c r="A72" s="135" t="s">
        <v>99</v>
      </c>
      <c r="B72" s="136"/>
      <c r="C72" s="132"/>
      <c r="D72" s="132"/>
      <c r="E72" s="132"/>
      <c r="F72" s="133"/>
      <c r="G72" s="134"/>
      <c r="H72" s="134"/>
    </row>
    <row r="73" spans="1:8" x14ac:dyDescent="0.25">
      <c r="A73" s="58" t="s">
        <v>58</v>
      </c>
      <c r="B73" s="76">
        <v>4100</v>
      </c>
      <c r="C73" s="99">
        <v>9249</v>
      </c>
      <c r="D73" s="7">
        <v>20094</v>
      </c>
      <c r="E73" s="6">
        <v>20000</v>
      </c>
      <c r="F73" s="115">
        <v>20000</v>
      </c>
      <c r="G73" s="118">
        <v>20000</v>
      </c>
      <c r="H73" s="118">
        <v>20000</v>
      </c>
    </row>
    <row r="74" spans="1:8" x14ac:dyDescent="0.25">
      <c r="A74" s="58" t="s">
        <v>59</v>
      </c>
      <c r="B74" s="76">
        <v>4305</v>
      </c>
      <c r="C74" s="99">
        <v>57121</v>
      </c>
      <c r="D74" s="7">
        <v>52328</v>
      </c>
      <c r="E74" s="6">
        <v>60000</v>
      </c>
      <c r="F74" s="115">
        <v>70000</v>
      </c>
      <c r="G74" s="118">
        <v>70000</v>
      </c>
      <c r="H74" s="118">
        <v>70000</v>
      </c>
    </row>
    <row r="75" spans="1:8" x14ac:dyDescent="0.25">
      <c r="A75" s="54" t="s">
        <v>60</v>
      </c>
      <c r="B75" s="64">
        <v>4310</v>
      </c>
      <c r="C75" s="99">
        <v>5000</v>
      </c>
      <c r="D75" s="7">
        <v>5593</v>
      </c>
      <c r="E75" s="6">
        <v>6500</v>
      </c>
      <c r="F75" s="115">
        <v>6500</v>
      </c>
      <c r="G75" s="118">
        <v>6500</v>
      </c>
      <c r="H75" s="118">
        <v>6500</v>
      </c>
    </row>
    <row r="76" spans="1:8" x14ac:dyDescent="0.25">
      <c r="A76" s="54" t="s">
        <v>61</v>
      </c>
      <c r="B76" s="64">
        <v>4315</v>
      </c>
      <c r="C76" s="99">
        <v>5000</v>
      </c>
      <c r="D76" s="7">
        <v>1500</v>
      </c>
      <c r="E76" s="6">
        <v>3000</v>
      </c>
      <c r="F76" s="115">
        <v>3500</v>
      </c>
      <c r="G76" s="118">
        <v>3500</v>
      </c>
      <c r="H76" s="118">
        <v>3500</v>
      </c>
    </row>
    <row r="77" spans="1:8" ht="16.350000000000001" customHeight="1" x14ac:dyDescent="0.25">
      <c r="A77" s="54" t="s">
        <v>111</v>
      </c>
      <c r="B77" s="64">
        <v>4400</v>
      </c>
      <c r="C77" s="99">
        <v>30428</v>
      </c>
      <c r="D77" s="7">
        <v>37615</v>
      </c>
      <c r="E77" s="6">
        <v>12000</v>
      </c>
      <c r="F77" s="115">
        <v>15000</v>
      </c>
      <c r="G77" s="118">
        <v>15000</v>
      </c>
      <c r="H77" s="118">
        <v>25000</v>
      </c>
    </row>
    <row r="78" spans="1:8" x14ac:dyDescent="0.25">
      <c r="A78" s="54" t="s">
        <v>100</v>
      </c>
      <c r="B78" s="64">
        <v>4700</v>
      </c>
      <c r="C78" s="99">
        <v>4795</v>
      </c>
      <c r="D78" s="7">
        <v>2800</v>
      </c>
      <c r="E78" s="6">
        <v>20000</v>
      </c>
      <c r="F78" s="115">
        <v>20000</v>
      </c>
      <c r="G78" s="118">
        <v>20000</v>
      </c>
      <c r="H78" s="118">
        <v>20000</v>
      </c>
    </row>
    <row r="79" spans="1:8" x14ac:dyDescent="0.25">
      <c r="A79" s="69" t="s">
        <v>62</v>
      </c>
      <c r="B79" s="67"/>
      <c r="C79" s="101">
        <f t="shared" ref="C79" si="12">SUM(C73:C78)</f>
        <v>111593</v>
      </c>
      <c r="D79" s="18">
        <f>SUM(D73:D78)</f>
        <v>119930</v>
      </c>
      <c r="E79" s="17">
        <f>SUM(E73:E78)</f>
        <v>121500</v>
      </c>
      <c r="F79" s="119">
        <f>SUM(F73:F78)</f>
        <v>135000</v>
      </c>
      <c r="G79" s="120">
        <f>SUM(G73:G78)</f>
        <v>135000</v>
      </c>
      <c r="H79" s="120">
        <f>SUM(H73:H78)</f>
        <v>145000</v>
      </c>
    </row>
    <row r="80" spans="1:8" ht="60" x14ac:dyDescent="0.25">
      <c r="A80" s="68" t="s">
        <v>101</v>
      </c>
      <c r="B80" s="65"/>
      <c r="C80" s="13"/>
      <c r="D80" s="13"/>
      <c r="E80" s="13" t="s">
        <v>119</v>
      </c>
      <c r="F80" s="147" t="s">
        <v>120</v>
      </c>
      <c r="G80" s="145" t="s">
        <v>121</v>
      </c>
      <c r="H80" s="146" t="s">
        <v>122</v>
      </c>
    </row>
    <row r="81" spans="1:11" x14ac:dyDescent="0.25">
      <c r="A81" s="54" t="s">
        <v>63</v>
      </c>
      <c r="B81" s="64">
        <v>5200</v>
      </c>
      <c r="C81" s="99">
        <v>5855</v>
      </c>
      <c r="D81" s="7">
        <v>5239</v>
      </c>
      <c r="E81" s="6">
        <v>5500</v>
      </c>
      <c r="F81" s="115">
        <v>12000</v>
      </c>
      <c r="G81" s="118">
        <v>10000</v>
      </c>
      <c r="H81" s="118">
        <v>5500</v>
      </c>
    </row>
    <row r="82" spans="1:11" x14ac:dyDescent="0.25">
      <c r="A82" s="54" t="s">
        <v>64</v>
      </c>
      <c r="B82" s="64">
        <v>5300</v>
      </c>
      <c r="C82" s="99">
        <v>4486</v>
      </c>
      <c r="D82" s="7">
        <v>2343</v>
      </c>
      <c r="E82" s="6">
        <v>2500</v>
      </c>
      <c r="F82" s="115">
        <v>2500</v>
      </c>
      <c r="G82" s="118">
        <v>2500</v>
      </c>
      <c r="H82" s="118">
        <v>2500</v>
      </c>
    </row>
    <row r="83" spans="1:11" x14ac:dyDescent="0.25">
      <c r="A83" s="54" t="s">
        <v>65</v>
      </c>
      <c r="B83" s="64">
        <v>5530</v>
      </c>
      <c r="C83" s="99"/>
      <c r="D83" s="7"/>
      <c r="E83" s="6"/>
      <c r="F83" s="115"/>
      <c r="G83" s="118"/>
      <c r="H83" s="118"/>
    </row>
    <row r="84" spans="1:11" x14ac:dyDescent="0.25">
      <c r="A84" s="54" t="s">
        <v>66</v>
      </c>
      <c r="B84" s="64">
        <v>5400</v>
      </c>
      <c r="C84" s="99">
        <v>11859</v>
      </c>
      <c r="D84" s="7">
        <v>14210</v>
      </c>
      <c r="E84" s="6">
        <v>15000</v>
      </c>
      <c r="F84" s="115">
        <v>15000</v>
      </c>
      <c r="G84" s="118">
        <v>15000</v>
      </c>
      <c r="H84" s="118">
        <v>15000</v>
      </c>
    </row>
    <row r="85" spans="1:11" x14ac:dyDescent="0.25">
      <c r="A85" s="80" t="s">
        <v>67</v>
      </c>
      <c r="B85" s="139">
        <v>5505</v>
      </c>
      <c r="C85" s="99"/>
      <c r="D85" s="7">
        <v>2305</v>
      </c>
      <c r="E85" s="6">
        <v>500</v>
      </c>
      <c r="F85" s="115">
        <v>500</v>
      </c>
      <c r="G85" s="118">
        <v>500</v>
      </c>
      <c r="H85" s="118">
        <v>500</v>
      </c>
    </row>
    <row r="86" spans="1:11" ht="25.5" x14ac:dyDescent="0.25">
      <c r="A86" s="54" t="s">
        <v>116</v>
      </c>
      <c r="B86" s="64">
        <v>5515</v>
      </c>
      <c r="C86" s="99">
        <v>25171</v>
      </c>
      <c r="D86" s="7">
        <v>39093</v>
      </c>
      <c r="E86" s="6">
        <v>28000</v>
      </c>
      <c r="F86" s="115">
        <v>28000</v>
      </c>
      <c r="G86" s="118">
        <v>28000</v>
      </c>
      <c r="H86" s="118">
        <v>30000</v>
      </c>
    </row>
    <row r="87" spans="1:11" x14ac:dyDescent="0.25">
      <c r="A87" s="77" t="s">
        <v>68</v>
      </c>
      <c r="B87" s="81">
        <v>5510</v>
      </c>
      <c r="C87" s="106">
        <v>179424</v>
      </c>
      <c r="D87" s="28"/>
      <c r="E87" s="29"/>
      <c r="F87" s="121"/>
      <c r="G87" s="118"/>
      <c r="H87" s="118"/>
    </row>
    <row r="88" spans="1:11" x14ac:dyDescent="0.25">
      <c r="A88" s="82" t="s">
        <v>69</v>
      </c>
      <c r="B88" s="138"/>
      <c r="C88" s="105"/>
      <c r="D88" s="30">
        <v>124500</v>
      </c>
      <c r="E88" s="25"/>
      <c r="F88" s="121"/>
      <c r="G88" s="118"/>
      <c r="H88" s="118"/>
    </row>
    <row r="89" spans="1:11" x14ac:dyDescent="0.25">
      <c r="A89" s="83" t="s">
        <v>70</v>
      </c>
      <c r="B89" s="139">
        <v>5520</v>
      </c>
      <c r="C89" s="105"/>
      <c r="D89" s="30">
        <v>51918</v>
      </c>
      <c r="E89" s="27"/>
      <c r="F89" s="125"/>
      <c r="G89" s="127">
        <v>150000</v>
      </c>
      <c r="H89" s="127"/>
    </row>
    <row r="90" spans="1:11" x14ac:dyDescent="0.25">
      <c r="A90" s="54" t="s">
        <v>71</v>
      </c>
      <c r="B90" s="64">
        <v>5610</v>
      </c>
      <c r="C90" s="99">
        <v>88415</v>
      </c>
      <c r="D90" s="7">
        <v>76320</v>
      </c>
      <c r="E90" s="6">
        <v>77760</v>
      </c>
      <c r="F90" s="115">
        <v>79200</v>
      </c>
      <c r="G90" s="118">
        <v>80640</v>
      </c>
      <c r="H90" s="118"/>
    </row>
    <row r="91" spans="1:11" x14ac:dyDescent="0.25">
      <c r="A91" s="54" t="s">
        <v>72</v>
      </c>
      <c r="B91" s="64">
        <v>5620</v>
      </c>
      <c r="C91" s="99">
        <v>15625</v>
      </c>
      <c r="D91" s="7">
        <v>36000</v>
      </c>
      <c r="E91" s="6">
        <v>48500</v>
      </c>
      <c r="F91" s="123">
        <v>48500</v>
      </c>
      <c r="G91" s="124">
        <v>48500</v>
      </c>
      <c r="H91" s="124">
        <v>273600</v>
      </c>
      <c r="K91" s="142"/>
    </row>
    <row r="92" spans="1:11" x14ac:dyDescent="0.25">
      <c r="A92" s="54" t="s">
        <v>108</v>
      </c>
      <c r="B92" s="64">
        <v>5630</v>
      </c>
      <c r="C92" s="105"/>
      <c r="D92" s="7">
        <v>3313</v>
      </c>
      <c r="E92" s="140">
        <v>4500</v>
      </c>
      <c r="F92" s="115">
        <v>4500</v>
      </c>
      <c r="G92" s="118">
        <v>4500</v>
      </c>
      <c r="H92" s="118"/>
      <c r="K92" s="142"/>
    </row>
    <row r="93" spans="1:11" x14ac:dyDescent="0.25">
      <c r="A93" s="54" t="s">
        <v>107</v>
      </c>
      <c r="B93" s="81">
        <v>5805</v>
      </c>
      <c r="C93" s="99"/>
      <c r="D93" s="30">
        <v>6000</v>
      </c>
      <c r="E93" s="27">
        <v>15000</v>
      </c>
      <c r="F93" s="126"/>
      <c r="G93" s="127"/>
      <c r="H93" s="127"/>
      <c r="J93" s="142"/>
      <c r="K93" s="142"/>
    </row>
    <row r="94" spans="1:11" x14ac:dyDescent="0.25">
      <c r="A94" s="54" t="s">
        <v>73</v>
      </c>
      <c r="B94" s="64">
        <v>5810</v>
      </c>
      <c r="C94" s="99">
        <v>35000</v>
      </c>
      <c r="D94" s="7">
        <v>36000</v>
      </c>
      <c r="E94" s="6">
        <v>45000</v>
      </c>
      <c r="F94" s="115">
        <v>37000</v>
      </c>
      <c r="G94" s="118">
        <v>38000</v>
      </c>
      <c r="H94" s="118">
        <v>38000</v>
      </c>
    </row>
    <row r="95" spans="1:11" x14ac:dyDescent="0.25">
      <c r="A95" s="54" t="s">
        <v>74</v>
      </c>
      <c r="B95" s="64">
        <v>5815</v>
      </c>
      <c r="C95" s="99">
        <v>3000</v>
      </c>
      <c r="D95" s="7">
        <v>3547</v>
      </c>
      <c r="E95" s="6">
        <v>5000</v>
      </c>
      <c r="F95" s="115">
        <v>5000</v>
      </c>
      <c r="G95" s="118">
        <v>5000</v>
      </c>
      <c r="H95" s="118">
        <v>5000</v>
      </c>
    </row>
    <row r="96" spans="1:11" x14ac:dyDescent="0.25">
      <c r="A96" s="54" t="s">
        <v>75</v>
      </c>
      <c r="B96" s="64">
        <v>5820</v>
      </c>
      <c r="C96" s="99">
        <v>8000</v>
      </c>
      <c r="D96" s="7">
        <v>5248</v>
      </c>
      <c r="E96" s="6">
        <v>6000</v>
      </c>
      <c r="F96" s="115">
        <v>6000</v>
      </c>
      <c r="G96" s="118">
        <v>6000</v>
      </c>
      <c r="H96" s="118">
        <v>6000</v>
      </c>
    </row>
    <row r="97" spans="1:8" x14ac:dyDescent="0.25">
      <c r="A97" s="54" t="s">
        <v>76</v>
      </c>
      <c r="B97" s="64">
        <v>5825</v>
      </c>
      <c r="C97" s="99">
        <v>5000</v>
      </c>
      <c r="D97" s="7">
        <v>7600</v>
      </c>
      <c r="E97" s="6">
        <v>5000</v>
      </c>
      <c r="F97" s="115">
        <v>5000</v>
      </c>
      <c r="G97" s="118">
        <v>8000</v>
      </c>
      <c r="H97" s="118">
        <v>5000</v>
      </c>
    </row>
    <row r="98" spans="1:8" x14ac:dyDescent="0.25">
      <c r="A98" s="54" t="s">
        <v>77</v>
      </c>
      <c r="B98" s="64">
        <v>5830</v>
      </c>
      <c r="C98" s="99">
        <v>9600</v>
      </c>
      <c r="D98" s="7">
        <v>12136</v>
      </c>
      <c r="E98" s="6">
        <v>12000</v>
      </c>
      <c r="F98" s="128">
        <v>12000</v>
      </c>
      <c r="G98" s="129">
        <v>12000</v>
      </c>
      <c r="H98" s="129">
        <v>8000</v>
      </c>
    </row>
    <row r="99" spans="1:8" x14ac:dyDescent="0.25">
      <c r="A99" s="54" t="s">
        <v>78</v>
      </c>
      <c r="B99" s="64">
        <v>5900</v>
      </c>
      <c r="C99" s="99">
        <v>4453</v>
      </c>
      <c r="D99" s="7">
        <v>8500</v>
      </c>
      <c r="E99" s="6">
        <v>3600</v>
      </c>
      <c r="F99" s="115">
        <v>3600</v>
      </c>
      <c r="G99" s="118">
        <v>3600</v>
      </c>
      <c r="H99" s="118">
        <v>3600</v>
      </c>
    </row>
    <row r="100" spans="1:8" x14ac:dyDescent="0.25">
      <c r="A100" s="69" t="s">
        <v>79</v>
      </c>
      <c r="B100" s="79"/>
      <c r="C100" s="101">
        <f t="shared" ref="C100" si="13">SUM(C81:C99)</f>
        <v>395888</v>
      </c>
      <c r="D100" s="18">
        <f>SUM(D81:D99)</f>
        <v>434272</v>
      </c>
      <c r="E100" s="17">
        <f>SUM(E81:E99)</f>
        <v>273860</v>
      </c>
      <c r="F100" s="119">
        <f>SUM(F81:F99)</f>
        <v>258800</v>
      </c>
      <c r="G100" s="120">
        <f>SUM(G81:G99)</f>
        <v>412240</v>
      </c>
      <c r="H100" s="120">
        <f>SUM(H81:H99)</f>
        <v>392700</v>
      </c>
    </row>
    <row r="101" spans="1:8" x14ac:dyDescent="0.25">
      <c r="A101" s="68" t="s">
        <v>80</v>
      </c>
      <c r="B101" s="84"/>
      <c r="C101" s="13"/>
      <c r="D101" s="13"/>
      <c r="E101" s="13"/>
      <c r="F101" s="14"/>
      <c r="G101" s="15"/>
      <c r="H101" s="15"/>
    </row>
    <row r="102" spans="1:8" x14ac:dyDescent="0.25">
      <c r="A102" s="85"/>
      <c r="B102" s="78"/>
      <c r="C102" s="11">
        <v>1959</v>
      </c>
      <c r="D102" s="11"/>
      <c r="E102" s="11"/>
      <c r="F102" s="12"/>
      <c r="G102" s="31"/>
      <c r="H102" s="31"/>
    </row>
    <row r="103" spans="1:8" x14ac:dyDescent="0.25">
      <c r="A103" s="68" t="s">
        <v>81</v>
      </c>
      <c r="B103" s="65"/>
      <c r="C103" s="13"/>
      <c r="D103" s="13"/>
      <c r="E103" s="13"/>
      <c r="F103" s="14"/>
      <c r="G103" s="15"/>
      <c r="H103" s="15"/>
    </row>
    <row r="104" spans="1:8" x14ac:dyDescent="0.25">
      <c r="A104" s="58" t="s">
        <v>82</v>
      </c>
      <c r="B104" s="64">
        <v>7699</v>
      </c>
      <c r="C104" s="99">
        <f t="shared" ref="C104:D104" si="14">0.01*(C20+C35)</f>
        <v>16283.475</v>
      </c>
      <c r="D104" s="7">
        <f t="shared" si="14"/>
        <v>16749.12</v>
      </c>
      <c r="E104" s="6">
        <f>0.01*(E20+E35+E43)</f>
        <v>23468.087500000001</v>
      </c>
      <c r="F104" s="115">
        <f>0.01*(F20+F35+F43)</f>
        <v>24968.565000000002</v>
      </c>
      <c r="G104" s="130">
        <f>0.01*(G20+G35+G43)</f>
        <v>24968.565000000002</v>
      </c>
      <c r="H104" s="130">
        <f>0.01*(H20+H35+H43)</f>
        <v>24968.565000000002</v>
      </c>
    </row>
    <row r="105" spans="1:8" x14ac:dyDescent="0.25">
      <c r="A105" s="54" t="s">
        <v>117</v>
      </c>
      <c r="B105" s="64">
        <v>7699</v>
      </c>
      <c r="C105" s="99"/>
      <c r="D105" s="7">
        <v>206683</v>
      </c>
      <c r="E105" s="6">
        <f>D8*870.61</f>
        <v>217652.5</v>
      </c>
      <c r="F105" s="115">
        <f>E8*870.61</f>
        <v>239417.75</v>
      </c>
      <c r="G105" s="118">
        <f>F8*870.61</f>
        <v>252476.9</v>
      </c>
      <c r="H105" s="118">
        <f>G8*870.61</f>
        <v>252476.9</v>
      </c>
    </row>
    <row r="106" spans="1:8" x14ac:dyDescent="0.25">
      <c r="A106" s="54" t="s">
        <v>83</v>
      </c>
      <c r="B106" s="64">
        <v>7699</v>
      </c>
      <c r="C106" s="99">
        <v>4000</v>
      </c>
      <c r="D106" s="7">
        <v>4000</v>
      </c>
      <c r="E106" s="6">
        <v>4000</v>
      </c>
      <c r="F106" s="115">
        <v>4000</v>
      </c>
      <c r="G106" s="118">
        <v>4000</v>
      </c>
      <c r="H106" s="118">
        <v>4000</v>
      </c>
    </row>
    <row r="107" spans="1:8" x14ac:dyDescent="0.25">
      <c r="A107" s="54" t="s">
        <v>136</v>
      </c>
      <c r="B107" s="64"/>
      <c r="C107" s="99"/>
      <c r="D107" s="7">
        <v>26298</v>
      </c>
      <c r="E107" s="6">
        <v>25000</v>
      </c>
      <c r="F107" s="115"/>
      <c r="G107" s="118"/>
      <c r="H107" s="118"/>
    </row>
    <row r="108" spans="1:8" x14ac:dyDescent="0.25">
      <c r="A108" s="54"/>
      <c r="B108" s="64"/>
      <c r="C108" s="99"/>
      <c r="D108" s="7"/>
      <c r="E108" s="6"/>
      <c r="F108" s="115"/>
      <c r="G108" s="118"/>
      <c r="H108" s="118"/>
    </row>
    <row r="109" spans="1:8" x14ac:dyDescent="0.25">
      <c r="A109" s="69" t="s">
        <v>79</v>
      </c>
      <c r="B109" s="67"/>
      <c r="C109" s="101">
        <f t="shared" ref="C109" si="15">SUM(C104:C108)</f>
        <v>20283.474999999999</v>
      </c>
      <c r="D109" s="18">
        <f>SUM(D104:D108)</f>
        <v>253730.12</v>
      </c>
      <c r="E109" s="17">
        <f>SUM(E104:E108)</f>
        <v>270120.58750000002</v>
      </c>
      <c r="F109" s="119">
        <f>SUM(F104:F108)</f>
        <v>268386.315</v>
      </c>
      <c r="G109" s="120">
        <f>SUM(G104:G108)</f>
        <v>281445.46499999997</v>
      </c>
      <c r="H109" s="120">
        <f>SUM(H104:H108)</f>
        <v>281445.46499999997</v>
      </c>
    </row>
    <row r="110" spans="1:8" ht="15.75" x14ac:dyDescent="0.25">
      <c r="A110" s="70" t="s">
        <v>84</v>
      </c>
      <c r="B110" s="71"/>
      <c r="C110" s="103">
        <f t="shared" ref="C110:H110" si="16">C71+C79+C100+C102+C109</f>
        <v>1780519.1132</v>
      </c>
      <c r="D110" s="20">
        <f t="shared" si="16"/>
        <v>2502194.2875000001</v>
      </c>
      <c r="E110" s="19">
        <f t="shared" si="16"/>
        <v>2158216.6375000002</v>
      </c>
      <c r="F110" s="119">
        <f t="shared" si="16"/>
        <v>2286658.8149999999</v>
      </c>
      <c r="G110" s="120">
        <f t="shared" si="16"/>
        <v>2502465.4649999999</v>
      </c>
      <c r="H110" s="120">
        <f t="shared" si="16"/>
        <v>2528602.9649999999</v>
      </c>
    </row>
    <row r="111" spans="1:8" ht="32.25" thickBot="1" x14ac:dyDescent="0.3">
      <c r="A111" s="86" t="s">
        <v>85</v>
      </c>
      <c r="B111" s="87"/>
      <c r="C111" s="20">
        <f t="shared" ref="C111:E111" si="17">C45-C110</f>
        <v>52084.386799999978</v>
      </c>
      <c r="D111" s="20">
        <f t="shared" si="17"/>
        <v>-226307.77750000032</v>
      </c>
      <c r="E111" s="20">
        <f t="shared" si="17"/>
        <v>345416.36249999981</v>
      </c>
      <c r="F111" s="32">
        <f>F45-F110</f>
        <v>384607.18500000006</v>
      </c>
      <c r="G111" s="33">
        <f>G45-G110</f>
        <v>159908.53500000015</v>
      </c>
      <c r="H111" s="33">
        <f>H45-H110</f>
        <v>133771.03500000015</v>
      </c>
    </row>
    <row r="112" spans="1:8" x14ac:dyDescent="0.25">
      <c r="A112" s="52" t="s">
        <v>86</v>
      </c>
      <c r="B112" s="72"/>
      <c r="C112" s="3"/>
      <c r="D112" s="3"/>
      <c r="E112" s="3"/>
      <c r="F112" s="10"/>
      <c r="G112" s="21"/>
      <c r="H112" s="21"/>
    </row>
    <row r="113" spans="1:8" ht="15.75" x14ac:dyDescent="0.25">
      <c r="A113" s="88" t="s">
        <v>135</v>
      </c>
      <c r="B113" s="89"/>
      <c r="C113" s="34">
        <v>453140</v>
      </c>
      <c r="D113" s="34">
        <f t="shared" ref="D113:E113" si="18">C115</f>
        <v>505224.38679999998</v>
      </c>
      <c r="E113" s="34">
        <f t="shared" si="18"/>
        <v>278916.60929999966</v>
      </c>
      <c r="F113" s="35">
        <f>E115</f>
        <v>624332.97179999948</v>
      </c>
      <c r="G113" s="36">
        <f>F115</f>
        <v>1008940.1567999995</v>
      </c>
      <c r="H113" s="36">
        <f>G115</f>
        <v>1168848.6917999997</v>
      </c>
    </row>
    <row r="114" spans="1:8" x14ac:dyDescent="0.25">
      <c r="A114" s="90" t="s">
        <v>87</v>
      </c>
      <c r="B114" s="91"/>
      <c r="C114" s="34">
        <f t="shared" ref="C114" si="19">C111</f>
        <v>52084.386799999978</v>
      </c>
      <c r="D114" s="34">
        <f>D111</f>
        <v>-226307.77750000032</v>
      </c>
      <c r="E114" s="34">
        <f>E111</f>
        <v>345416.36249999981</v>
      </c>
      <c r="F114" s="35">
        <f>F111</f>
        <v>384607.18500000006</v>
      </c>
      <c r="G114" s="36">
        <f>G111</f>
        <v>159908.53500000015</v>
      </c>
      <c r="H114" s="36">
        <f>H111</f>
        <v>133771.03500000015</v>
      </c>
    </row>
    <row r="115" spans="1:8" ht="15.75" x14ac:dyDescent="0.25">
      <c r="A115" s="86" t="s">
        <v>88</v>
      </c>
      <c r="B115" s="87"/>
      <c r="C115" s="20">
        <f t="shared" ref="C115" si="20">C113+C111</f>
        <v>505224.38679999998</v>
      </c>
      <c r="D115" s="20">
        <f>D113+D111</f>
        <v>278916.60929999966</v>
      </c>
      <c r="E115" s="20">
        <f>E113+E111</f>
        <v>624332.97179999948</v>
      </c>
      <c r="F115" s="32">
        <f>F113+F114</f>
        <v>1008940.1567999995</v>
      </c>
      <c r="G115" s="37">
        <f>G113+G114</f>
        <v>1168848.6917999997</v>
      </c>
      <c r="H115" s="37">
        <f>H113+H114</f>
        <v>1302619.7267999998</v>
      </c>
    </row>
    <row r="116" spans="1:8" x14ac:dyDescent="0.25">
      <c r="A116" s="90"/>
      <c r="B116" s="91"/>
      <c r="C116" s="34"/>
      <c r="D116" s="34"/>
      <c r="E116" s="34"/>
      <c r="F116" s="35"/>
      <c r="G116" s="36"/>
      <c r="H116" s="36"/>
    </row>
    <row r="117" spans="1:8" x14ac:dyDescent="0.25">
      <c r="A117" s="93" t="s">
        <v>89</v>
      </c>
      <c r="B117" s="91"/>
      <c r="C117" s="34">
        <f t="shared" ref="C117:H117" si="21">C110*0.05</f>
        <v>89025.955660000007</v>
      </c>
      <c r="D117" s="34">
        <f t="shared" si="21"/>
        <v>125109.71437500001</v>
      </c>
      <c r="E117" s="34">
        <f t="shared" si="21"/>
        <v>107910.83187500002</v>
      </c>
      <c r="F117" s="35">
        <f t="shared" si="21"/>
        <v>114332.94075000001</v>
      </c>
      <c r="G117" s="36">
        <f t="shared" si="21"/>
        <v>125123.27325</v>
      </c>
      <c r="H117" s="36">
        <f t="shared" si="21"/>
        <v>126430.14825</v>
      </c>
    </row>
    <row r="118" spans="1:8" x14ac:dyDescent="0.25">
      <c r="A118" s="92" t="s">
        <v>112</v>
      </c>
      <c r="B118" s="91"/>
      <c r="C118" s="34"/>
      <c r="D118" s="34"/>
      <c r="E118" s="34"/>
      <c r="F118" s="35">
        <v>100000</v>
      </c>
      <c r="G118" s="36">
        <v>100000</v>
      </c>
      <c r="H118" s="36">
        <v>100000</v>
      </c>
    </row>
    <row r="119" spans="1:8" x14ac:dyDescent="0.25">
      <c r="A119" s="92" t="s">
        <v>90</v>
      </c>
      <c r="B119" s="91"/>
      <c r="C119" s="34">
        <v>124500</v>
      </c>
      <c r="D119" s="34"/>
      <c r="E119" s="34"/>
      <c r="F119" s="35"/>
      <c r="G119" s="36"/>
      <c r="H119" s="36"/>
    </row>
    <row r="120" spans="1:8" x14ac:dyDescent="0.25">
      <c r="A120" s="92" t="s">
        <v>115</v>
      </c>
      <c r="B120" s="91"/>
      <c r="C120" s="34"/>
      <c r="D120" s="34"/>
      <c r="E120" s="34"/>
      <c r="F120" s="35">
        <v>50000</v>
      </c>
      <c r="G120" s="36">
        <v>100000</v>
      </c>
      <c r="H120" s="36">
        <v>150000</v>
      </c>
    </row>
    <row r="121" spans="1:8" x14ac:dyDescent="0.25">
      <c r="A121" s="94" t="s">
        <v>91</v>
      </c>
      <c r="B121" s="95"/>
      <c r="C121" s="38">
        <f t="shared" ref="C121:H121" si="22">SUM(C116:C120)</f>
        <v>213525.95566000001</v>
      </c>
      <c r="D121" s="38">
        <f t="shared" si="22"/>
        <v>125109.71437500001</v>
      </c>
      <c r="E121" s="38">
        <f t="shared" si="22"/>
        <v>107910.83187500002</v>
      </c>
      <c r="F121" s="143">
        <f t="shared" si="22"/>
        <v>264332.94075000001</v>
      </c>
      <c r="G121" s="144">
        <f t="shared" si="22"/>
        <v>325123.27324999997</v>
      </c>
      <c r="H121" s="144">
        <f t="shared" si="22"/>
        <v>376430.14824999997</v>
      </c>
    </row>
    <row r="122" spans="1:8" ht="48" thickBot="1" x14ac:dyDescent="0.3">
      <c r="A122" s="96" t="s">
        <v>92</v>
      </c>
      <c r="B122" s="97"/>
      <c r="C122" s="39">
        <f t="shared" ref="C122" si="23">C115-C121</f>
        <v>291698.43114</v>
      </c>
      <c r="D122" s="39">
        <f>D115-D121</f>
        <v>153806.89492499965</v>
      </c>
      <c r="E122" s="39">
        <f>E115-E121</f>
        <v>516422.13992499944</v>
      </c>
      <c r="F122" s="40">
        <f>F115-F121</f>
        <v>744607.21604999946</v>
      </c>
      <c r="G122" s="41">
        <f>G115-G121</f>
        <v>843725.41854999971</v>
      </c>
      <c r="H122" s="41">
        <f>H115-H121</f>
        <v>926189.57854999986</v>
      </c>
    </row>
  </sheetData>
  <pageMargins left="0.7" right="0.7" top="0.75" bottom="0.75" header="0.3" footer="0.3"/>
  <pageSetup orientation="landscape" verticalDpi="0" r:id="rId1"/>
  <headerFooter>
    <oddHeader>&amp;C&amp;"Times New Roman,Bold"&amp;14Uncharted Shores Academy</oddHeader>
  </headerFooter>
  <rowBreaks count="4" manualBreakCount="4">
    <brk id="30" max="16383" man="1"/>
    <brk id="45" max="16383" man="1"/>
    <brk id="71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Margie Rouge</dc:creator>
  <cp:lastModifiedBy>BREEANNA SCOTT</cp:lastModifiedBy>
  <cp:lastPrinted>2019-06-26T01:56:08Z</cp:lastPrinted>
  <dcterms:created xsi:type="dcterms:W3CDTF">2019-05-25T14:14:13Z</dcterms:created>
  <dcterms:modified xsi:type="dcterms:W3CDTF">2019-09-09T15:40:04Z</dcterms:modified>
</cp:coreProperties>
</file>